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'2015-16'!$A$1:$K$117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<sst xmlns="http://schemas.openxmlformats.org/spreadsheetml/2006/main" count="1139" uniqueCount="248">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</sst>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3724207"/>
        <c:axId val="42380920"/>
      </c:barChart>
      <c:catAx>
        <c:axId val="5372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0920"/>
        <c:crosses val="autoZero"/>
        <c:auto val="1"/>
        <c:lblOffset val="100"/>
        <c:noMultiLvlLbl val="0"/>
      </c:catAx>
      <c:valAx>
        <c:axId val="423809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24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-6256.623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1118.552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180.982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1896.922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1010.965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1403.759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1176.251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2843.896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60.425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74.37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392.503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-39.279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600.88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635.76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460.772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714.838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-220.604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132.214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228.583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-67.002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1695.609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91.179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222.441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116.384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2622.738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109.478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2120.136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362.093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583.619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7.176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647.108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40.014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585.225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72.616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1490.228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-72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165.683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378.795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-1825.232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-4198.469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2751.149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-953.603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-158.653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3853.578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-2173.453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-74.416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-147.477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2068.515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1547.993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96.243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25.65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2175.493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52.807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225.828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159.248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766.854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915.912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L46" sqref="AL46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-290.2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-290.2</v>
      </c>
      <c r="L21" s="101">
        <f t="shared" si="3"/>
        <v>-531.2</v>
      </c>
      <c r="M21" s="101">
        <f t="shared" si="3"/>
        <v>-741.2</v>
      </c>
      <c r="N21" s="101">
        <f t="shared" si="3"/>
        <v>-920.587</v>
      </c>
      <c r="O21" s="101">
        <f t="shared" si="3"/>
        <v>-980.587</v>
      </c>
    </row>
    <row r="23" spans="1:15" ht="12.75">
      <c r="A23" s="3" t="s">
        <v>189</v>
      </c>
      <c r="B23" s="3"/>
      <c r="C23" s="104">
        <f>SUM(C16:C22)</f>
        <v>-2877.3028830000003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-2877.3028830000003</v>
      </c>
      <c r="L23" s="104">
        <f>SUM(L16:L22)</f>
        <v>-4450.32762515</v>
      </c>
      <c r="M23" s="104">
        <f>SUM(M16:M22)</f>
        <v>-5672.5685719075</v>
      </c>
      <c r="N23" s="104">
        <f>SUM(N16:N22)</f>
        <v>-6857.3335719075</v>
      </c>
      <c r="O23" s="104">
        <f>SUM(O16:O22)</f>
        <v>-7498.5280719075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87.60000000000002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-857.7131830000003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-290200</v>
      </c>
      <c r="D43" s="101">
        <f t="shared" si="7"/>
        <v>-531200</v>
      </c>
      <c r="E43" s="101">
        <f t="shared" si="7"/>
        <v>-741200</v>
      </c>
      <c r="F43" s="101">
        <f t="shared" si="7"/>
        <v>-920587</v>
      </c>
      <c r="G43" s="101">
        <f t="shared" si="7"/>
        <v>-980587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-2877302.8830000004</v>
      </c>
      <c r="D45" s="104">
        <f>SUM(D38:D44)</f>
        <v>-4450327.625150001</v>
      </c>
      <c r="E45" s="104">
        <f>SUM(E38:E44)</f>
        <v>-5672568.5719075</v>
      </c>
      <c r="F45" s="104">
        <f>SUM(F38:F44)</f>
        <v>-6857333.5719075</v>
      </c>
      <c r="G45" s="104">
        <f>SUM(G38:G44)</f>
        <v>-7498528.0719075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AL46" sqref="AL46"/>
      <selection pane="bottomLeft" activeCell="AL46" sqref="AL46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-72</v>
      </c>
      <c r="D130" s="113">
        <f>+C130-B130</f>
        <v>13.099999999999994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-72</v>
      </c>
      <c r="D133" s="114">
        <f>+SUM(D130:D132)</f>
        <v>13.099999999999994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-290.2</v>
      </c>
      <c r="D146" s="124">
        <f>+D144+D139+D133+D128</f>
        <v>102.6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-2877.3028830000003</v>
      </c>
      <c r="D148" s="124">
        <f>+D146+D122+D98+D74+D50+D26</f>
        <v>-533.7128830000001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-467.2</v>
      </c>
      <c r="D156" s="113">
        <f t="shared" si="0"/>
        <v>-110.40000000000003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-381.931183</v>
      </c>
      <c r="D159" s="114">
        <f t="shared" si="0"/>
        <v>28.86881699999998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-2877.3028830000003</v>
      </c>
      <c r="D172" s="114">
        <f>+D170+D165+D159+D154</f>
        <v>-533.7128830000001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13.099999999999994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18.599999999999994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-110.4</v>
      </c>
      <c r="D35" s="140">
        <f>+SUM(D29:D34)</f>
        <v>34.699999999999996</v>
      </c>
      <c r="E35" s="140">
        <f>+SUM(E29:E34)</f>
        <v>144.4</v>
      </c>
      <c r="F35" s="140">
        <f>+SUM(F29:F34)</f>
        <v>68.69999999999999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66.96799999999999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28.86881699999998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460.0380280925002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292.40602809250026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-533.7128830000001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-439.19857190749997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-165.75807190749993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65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5062.915000000001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349</v>
      </c>
      <c r="J4" s="35">
        <f>+J6+J13+J19</f>
        <v>4628.815000000001</v>
      </c>
      <c r="K4" s="77">
        <f>+(J4-B4)/B4</f>
        <v>-0.08574111949341424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1088.899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961.899</v>
      </c>
      <c r="K6" s="79">
        <f aca="true" t="shared" si="2" ref="K6:K11">+(J6-B6)/B6</f>
        <v>-0.11663157005378819</v>
      </c>
      <c r="N6" s="73" t="s">
        <v>226</v>
      </c>
      <c r="O6" s="87" t="s">
        <v>161</v>
      </c>
      <c r="P6" s="94">
        <v>1112862</v>
      </c>
      <c r="Q6" s="95">
        <f>P6-B6*1000</f>
        <v>23963</v>
      </c>
      <c r="S6" s="99">
        <v>2192117</v>
      </c>
    </row>
    <row r="7" spans="1:16" ht="12.75">
      <c r="A7" s="10" t="s">
        <v>26</v>
      </c>
      <c r="B7" s="39">
        <f>'[17]Appendix2 1213 Feeder'!D15</f>
        <v>60.425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44.425</v>
      </c>
      <c r="K7" s="80">
        <f t="shared" si="2"/>
        <v>-0.26479106330161356</v>
      </c>
      <c r="O7" s="89"/>
      <c r="P7" s="65"/>
    </row>
    <row r="8" spans="1:16" ht="12.75">
      <c r="A8" s="10" t="s">
        <v>27</v>
      </c>
      <c r="B8" s="39">
        <f>'[17]Appendix2 1213 Feeder'!D16</f>
        <v>74.37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28.370000000000005</v>
      </c>
      <c r="K8" s="80">
        <f t="shared" si="2"/>
        <v>-0.618528976737932</v>
      </c>
      <c r="N8" s="73"/>
      <c r="O8" s="89"/>
      <c r="P8" s="65"/>
    </row>
    <row r="9" spans="1:16" ht="12.75">
      <c r="A9" s="10" t="s">
        <v>110</v>
      </c>
      <c r="B9" s="39">
        <f>'[17]Appendix2 1213 Feeder'!D17</f>
        <v>392.503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392.503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Feeder'!D18</f>
        <v>-39.279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-54.279</v>
      </c>
      <c r="K10" s="80">
        <f t="shared" si="2"/>
        <v>0.3818834491713129</v>
      </c>
      <c r="N10" s="73"/>
      <c r="O10" s="89"/>
      <c r="P10" s="65"/>
    </row>
    <row r="11" spans="1:16" ht="12.75">
      <c r="A11" s="10" t="s">
        <v>82</v>
      </c>
      <c r="B11" s="39">
        <f>'[17]Appendix2 1213 Feeder'!D19</f>
        <v>600.88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550.88</v>
      </c>
      <c r="K11" s="80">
        <f t="shared" si="2"/>
        <v>-0.08321129010784183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-3090.167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-3553.2669999999994</v>
      </c>
      <c r="K13" s="79">
        <f>+(J13-B13)/B13</f>
        <v>0.14986245079958443</v>
      </c>
      <c r="N13" s="73" t="s">
        <v>227</v>
      </c>
      <c r="O13" s="87" t="s">
        <v>163</v>
      </c>
      <c r="P13" s="94">
        <v>-3784444</v>
      </c>
      <c r="Q13" s="95">
        <f>P13-B13*1000</f>
        <v>-694277</v>
      </c>
      <c r="S13" s="99">
        <v>-4398865</v>
      </c>
    </row>
    <row r="14" spans="1:16" ht="12.75">
      <c r="A14" s="21" t="s">
        <v>85</v>
      </c>
      <c r="B14" s="41">
        <f>'[15]Appendix2 1213 Feeder'!D15-30</f>
        <v>-6286.623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-6357.623</v>
      </c>
      <c r="K14" s="80">
        <f>+(J14-B14)/B14</f>
        <v>0.011293821818168515</v>
      </c>
      <c r="O14" s="89"/>
      <c r="P14" s="65"/>
    </row>
    <row r="15" spans="1:16" ht="12.75">
      <c r="A15" s="21" t="s">
        <v>86</v>
      </c>
      <c r="B15" s="41">
        <f>'[15]Appendix2 1213 Feeder'!D16</f>
        <v>1118.552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876.4519999999999</v>
      </c>
      <c r="K15" s="80">
        <f>+(J15-B15)/B15</f>
        <v>-0.21644054098513082</v>
      </c>
      <c r="N15" s="73"/>
      <c r="O15" s="89"/>
      <c r="P15" s="65"/>
    </row>
    <row r="16" spans="1:16" ht="12.75">
      <c r="A16" s="21" t="s">
        <v>87</v>
      </c>
      <c r="B16" s="41">
        <f>'[15]Appendix2 1213 Feeder'!D17</f>
        <v>180.982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175.982</v>
      </c>
      <c r="K16" s="80">
        <f>+(J16-B16)/B16</f>
        <v>-0.02762705683438132</v>
      </c>
      <c r="N16" s="73"/>
      <c r="O16" s="89"/>
      <c r="P16" s="65"/>
    </row>
    <row r="17" spans="1:16" ht="12.75">
      <c r="A17" s="21" t="s">
        <v>110</v>
      </c>
      <c r="B17" s="41">
        <f>'[15]Appendix2 1213 Feeder'!D18</f>
        <v>1896.922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1751.922</v>
      </c>
      <c r="K17" s="80">
        <f>+(J17-B17)/B17</f>
        <v>-0.07643962166077467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7064.183000000001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349</v>
      </c>
      <c r="J19" s="37">
        <f>+SUM(J20:J25)</f>
        <v>7220.183000000001</v>
      </c>
      <c r="K19" s="79">
        <f aca="true" t="shared" si="5" ref="K19:K25">+(J19-B19)/B19</f>
        <v>0.022083233121225763</v>
      </c>
      <c r="N19" s="73" t="s">
        <v>228</v>
      </c>
      <c r="O19" s="87" t="s">
        <v>164</v>
      </c>
      <c r="P19" s="94">
        <v>7031684</v>
      </c>
      <c r="Q19" s="95">
        <f>P19-B19*1000</f>
        <v>-32499.00000000093</v>
      </c>
      <c r="S19" s="99">
        <v>7375529</v>
      </c>
    </row>
    <row r="20" spans="1:16" ht="12.75">
      <c r="A20" s="11" t="s">
        <v>40</v>
      </c>
      <c r="B20" s="41">
        <f>'[16]Appendix2 1213 Feeder'!$D15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Feeder'!$D16</f>
        <v>1010.965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1230.9650000000001</v>
      </c>
      <c r="K21" s="80">
        <f t="shared" si="5"/>
        <v>0.21761386398144358</v>
      </c>
      <c r="N21" s="73"/>
      <c r="O21" s="89"/>
      <c r="P21" s="65"/>
    </row>
    <row r="22" spans="1:16" ht="12.75">
      <c r="A22" s="11" t="s">
        <v>143</v>
      </c>
      <c r="B22" s="41">
        <f>'[16]Appendix2 1213 Feeder'!$D17</f>
        <v>1403.759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70</v>
      </c>
      <c r="J22" s="40">
        <f t="shared" si="6"/>
        <v>1488.759</v>
      </c>
      <c r="K22" s="80">
        <f t="shared" si="5"/>
        <v>0.060551704388003925</v>
      </c>
      <c r="N22" s="73"/>
      <c r="O22" s="89"/>
      <c r="P22" s="65"/>
    </row>
    <row r="23" spans="1:16" ht="12.75">
      <c r="A23" s="11" t="s">
        <v>144</v>
      </c>
      <c r="B23" s="41">
        <f>'[16]Appendix2 1213 Feeder'!$D18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Feeder'!$D19</f>
        <v>1176.251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1080.251</v>
      </c>
      <c r="K24" s="80">
        <f t="shared" si="5"/>
        <v>-0.08161523348332966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Feeder'!$D20-20</f>
        <v>2823.896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2821.896</v>
      </c>
      <c r="K25" s="80">
        <f t="shared" si="5"/>
        <v>-0.000708241379994164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7661.531000000001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-72</v>
      </c>
      <c r="I27" s="35">
        <f t="shared" si="7"/>
        <v>0</v>
      </c>
      <c r="J27" s="35">
        <f>+J29+J42+J37</f>
        <v>7279.599816999999</v>
      </c>
      <c r="K27" s="79">
        <f>+(J27-B27)/B27</f>
        <v>-0.04985050416163577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2662.121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-72</v>
      </c>
      <c r="I29" s="38">
        <f t="shared" si="8"/>
        <v>0</v>
      </c>
      <c r="J29" s="38">
        <f>+SUM(J30:J35)</f>
        <v>2194.9210000000003</v>
      </c>
      <c r="K29" s="79">
        <f aca="true" t="shared" si="9" ref="K29:K35">+(J29-B29)/B29</f>
        <v>-0.1754991602560514</v>
      </c>
      <c r="N29" s="73" t="s">
        <v>229</v>
      </c>
      <c r="O29" s="87" t="s">
        <v>165</v>
      </c>
      <c r="P29" s="94">
        <v>2677371</v>
      </c>
      <c r="Q29" s="95">
        <f>P29-B29*1000</f>
        <v>15250</v>
      </c>
      <c r="S29" s="99">
        <v>419432</v>
      </c>
    </row>
    <row r="30" spans="1:16" ht="12.75">
      <c r="A30" s="10" t="s">
        <v>9</v>
      </c>
      <c r="B30" s="41">
        <f>'[23]Appendix2 1213 Feeder'!$D15</f>
        <v>1490.228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-0.13890491924725612</v>
      </c>
      <c r="O30" s="90"/>
      <c r="P30" s="66"/>
    </row>
    <row r="31" spans="1:16" ht="12.75">
      <c r="A31" s="10" t="s">
        <v>11</v>
      </c>
      <c r="B31" s="41">
        <f>'[23]Appendix2 1213 Feeder'!$D16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-72</v>
      </c>
      <c r="I31" s="42">
        <v>0</v>
      </c>
      <c r="J31" s="40">
        <f t="shared" si="10"/>
        <v>77.80099999999999</v>
      </c>
      <c r="K31" s="80">
        <f t="shared" si="9"/>
        <v>-0.4806376459436186</v>
      </c>
      <c r="N31" s="73"/>
      <c r="O31" s="90"/>
      <c r="P31" s="66"/>
    </row>
    <row r="32" spans="1:16" ht="12.75">
      <c r="A32" s="10" t="s">
        <v>12</v>
      </c>
      <c r="B32" s="41">
        <f>'[23]Appendix2 1213 Feeder'!$D17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0</v>
      </c>
      <c r="I32" s="42">
        <v>0</v>
      </c>
      <c r="J32" s="40">
        <f t="shared" si="10"/>
        <v>66.025</v>
      </c>
      <c r="K32" s="80">
        <f t="shared" si="9"/>
        <v>0</v>
      </c>
      <c r="N32" s="73"/>
      <c r="O32" s="90"/>
      <c r="P32" s="66"/>
    </row>
    <row r="33" spans="1:16" ht="12.75">
      <c r="A33" s="10" t="s">
        <v>8</v>
      </c>
      <c r="B33" s="41">
        <f>'[23]Appendix2 1213 Feeder'!$D18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Feeder'!$D19</f>
        <v>165.683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65.68299999999999</v>
      </c>
      <c r="K34" s="80">
        <f t="shared" si="9"/>
        <v>-0.6035622242475088</v>
      </c>
      <c r="N34" s="73"/>
      <c r="O34" s="90"/>
      <c r="P34" s="66"/>
    </row>
    <row r="35" spans="1:16" ht="12.75">
      <c r="A35" s="10" t="s">
        <v>147</v>
      </c>
      <c r="B35" s="41">
        <f>'[23]Appendix2 1213 Feeder'!$D20</f>
        <v>378.795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308.795</v>
      </c>
      <c r="K35" s="80">
        <f t="shared" si="9"/>
        <v>-0.18479652582531447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2828.6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2999.8688169999996</v>
      </c>
      <c r="K37" s="79">
        <f>+(J37-B37)/B37</f>
        <v>0.060548970161917445</v>
      </c>
      <c r="N37" s="73" t="s">
        <v>230</v>
      </c>
      <c r="O37" s="87" t="s">
        <v>166</v>
      </c>
      <c r="P37" s="94">
        <v>2855376</v>
      </c>
      <c r="Q37" s="95">
        <f>P37-B37*1000</f>
        <v>26776</v>
      </c>
      <c r="S37" s="99">
        <v>713682</v>
      </c>
    </row>
    <row r="38" spans="1:16" ht="12.75">
      <c r="A38" s="11" t="s">
        <v>57</v>
      </c>
      <c r="B38" s="41">
        <f>'[20]Appendix2 1213 Feeder'!C15</f>
        <v>116.384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123.131</v>
      </c>
      <c r="K38" s="80">
        <f>+(J38-B38)/B38</f>
        <v>0.057971886169920266</v>
      </c>
      <c r="O38" s="90"/>
      <c r="P38" s="66"/>
    </row>
    <row r="39" spans="1:16" ht="12.75">
      <c r="A39" s="11" t="s">
        <v>58</v>
      </c>
      <c r="B39" s="41">
        <f>'[20]Appendix2 1213 Feeder'!C16-20</f>
        <v>2602.738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2772.2598169999997</v>
      </c>
      <c r="K39" s="79">
        <f aca="true" t="shared" si="12" ref="K39:K47">+(J39-B39)/B39</f>
        <v>0.06513210972445165</v>
      </c>
      <c r="N39" s="72"/>
      <c r="O39" s="90"/>
      <c r="P39" s="66"/>
    </row>
    <row r="40" spans="1:16" ht="12.75">
      <c r="A40" s="11" t="s">
        <v>84</v>
      </c>
      <c r="B40" s="41">
        <f>'[20]Appendix2 1213 Feeder'!C17</f>
        <v>109.478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104.478</v>
      </c>
      <c r="K40" s="79">
        <f t="shared" si="12"/>
        <v>-0.045671276420833413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2170.81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2084.81</v>
      </c>
      <c r="K42" s="79">
        <f>+(J42-B42)/B42</f>
        <v>-0.03961654866155951</v>
      </c>
      <c r="N42" s="82" t="s">
        <v>231</v>
      </c>
      <c r="O42" s="87" t="s">
        <v>167</v>
      </c>
      <c r="P42" s="94">
        <v>2143168</v>
      </c>
      <c r="Q42" s="95">
        <f>P42-B42*1000</f>
        <v>-27642</v>
      </c>
      <c r="S42" s="99">
        <v>1037598</v>
      </c>
    </row>
    <row r="43" spans="1:16" ht="12.75">
      <c r="A43" s="83" t="s">
        <v>149</v>
      </c>
      <c r="B43" s="41">
        <f>'[19]Appendix2 1213 Feeder'!C15</f>
        <v>228.583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192.583</v>
      </c>
      <c r="K43" s="80">
        <f t="shared" si="12"/>
        <v>-0.15749202696613485</v>
      </c>
      <c r="N43" s="12"/>
      <c r="O43" s="89"/>
      <c r="P43" s="63"/>
    </row>
    <row r="44" spans="1:16" ht="12.75">
      <c r="A44" s="83" t="s">
        <v>150</v>
      </c>
      <c r="B44" s="41">
        <f>'[19]Appendix2 1213 Feeder'!C16</f>
        <v>-67.002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-67.002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Feeder'!C17</f>
        <v>1695.609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1645.609</v>
      </c>
      <c r="K45" s="80">
        <f t="shared" si="12"/>
        <v>-0.02948793029525085</v>
      </c>
      <c r="N45" s="82"/>
      <c r="O45" s="91"/>
      <c r="P45" s="66"/>
    </row>
    <row r="46" spans="1:16" ht="12.75">
      <c r="A46" s="83" t="s">
        <v>107</v>
      </c>
      <c r="B46" s="41">
        <f>'[19]Appendix2 1213 Feeder'!C18</f>
        <v>91.179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91.179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Feeder'!C19</f>
        <v>222.441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222.441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7930.019999999999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6840.448299999998</v>
      </c>
      <c r="K49" s="79">
        <f>+(J49-B49)/B49</f>
        <v>-0.13739835460692415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1722.9799999999998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1646.9799999999998</v>
      </c>
      <c r="K51" s="79">
        <f aca="true" t="shared" si="16" ref="K51:K56">+(J51-B51)/B51</f>
        <v>-0.044109624023494186</v>
      </c>
      <c r="N51" s="73" t="s">
        <v>232</v>
      </c>
      <c r="O51" s="87" t="s">
        <v>168</v>
      </c>
      <c r="P51" s="94">
        <v>1729497</v>
      </c>
      <c r="Q51" s="95">
        <f>P51-B51*1000</f>
        <v>6517.000000000233</v>
      </c>
      <c r="S51" s="99">
        <v>2432959</v>
      </c>
    </row>
    <row r="52" spans="1:16" ht="12.75">
      <c r="A52" s="10" t="s">
        <v>31</v>
      </c>
      <c r="B52" s="41">
        <f>'[18]Appendix2 1213 Feeder'!D15</f>
        <v>635.76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653.76</v>
      </c>
      <c r="K52" s="80">
        <f t="shared" si="16"/>
        <v>0.028312570781426953</v>
      </c>
      <c r="N52" s="12"/>
      <c r="O52" s="89"/>
      <c r="P52" s="66"/>
    </row>
    <row r="53" spans="1:16" ht="12.75">
      <c r="A53" s="10" t="s">
        <v>32</v>
      </c>
      <c r="B53" s="41">
        <f>'[18]Appendix2 1213 Feeder'!D16</f>
        <v>460.772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582.7719999999999</v>
      </c>
      <c r="K53" s="80">
        <f t="shared" si="16"/>
        <v>0.2647730330836074</v>
      </c>
      <c r="N53" s="73"/>
      <c r="O53" s="89"/>
      <c r="P53" s="66"/>
    </row>
    <row r="54" spans="1:16" ht="12.75">
      <c r="A54" s="10" t="s">
        <v>33</v>
      </c>
      <c r="B54" s="41">
        <f>'[18]Appendix2 1213 Feeder'!D17</f>
        <v>714.838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714.838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Feeder'!D18</f>
        <v>-220.604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-424.60400000000004</v>
      </c>
      <c r="K55" s="80">
        <f t="shared" si="16"/>
        <v>0.9247339123497308</v>
      </c>
      <c r="N55" s="73"/>
      <c r="O55" s="89"/>
      <c r="P55" s="64"/>
    </row>
    <row r="56" spans="1:16" ht="12.75">
      <c r="A56" s="10" t="s">
        <v>34</v>
      </c>
      <c r="B56" s="41">
        <f>'[18]Appendix2 1213 Feeder'!D19</f>
        <v>132.214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120.214</v>
      </c>
      <c r="K56" s="80">
        <f t="shared" si="16"/>
        <v>-0.09076194654121349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-893.0610000000001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-1135.061000000001</v>
      </c>
      <c r="K58" s="79">
        <f>+(J58-B58)/B58</f>
        <v>0.270978130273297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170116.00000000012</v>
      </c>
      <c r="S58" s="99">
        <v>4503469</v>
      </c>
    </row>
    <row r="59" spans="1:16" ht="12.75">
      <c r="A59" s="84" t="s">
        <v>160</v>
      </c>
      <c r="B59" s="41">
        <f>'[25]Appendix2 1213 Feeder'!$D15</f>
        <v>-1825.232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-1816.232</v>
      </c>
      <c r="K59" s="80">
        <f aca="true" t="shared" si="18" ref="K59:K68">+(J59-B59)/B59</f>
        <v>-0.00493088001963586</v>
      </c>
      <c r="N59" s="12"/>
      <c r="O59" s="90"/>
      <c r="P59" s="66"/>
    </row>
    <row r="60" spans="1:16" ht="12.75">
      <c r="A60" s="84" t="s">
        <v>153</v>
      </c>
      <c r="B60" s="41">
        <f>'[25]Appendix2 1213 Feeder'!$D16-35</f>
        <v>-4233.469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-4398.469</v>
      </c>
      <c r="K60" s="80">
        <f t="shared" si="18"/>
        <v>0.0389751289072862</v>
      </c>
      <c r="N60" s="73"/>
      <c r="O60" s="90"/>
      <c r="P60" s="66"/>
    </row>
    <row r="61" spans="1:16" ht="12.75">
      <c r="A61" s="84" t="s">
        <v>154</v>
      </c>
      <c r="B61" s="41">
        <f>'[25]Appendix2 1213 Feeder'!$D17</f>
        <v>2751.149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2860.149</v>
      </c>
      <c r="K61" s="80">
        <f t="shared" si="18"/>
        <v>0.039619809759485945</v>
      </c>
      <c r="N61" s="73"/>
      <c r="O61" s="90"/>
      <c r="P61" s="66"/>
    </row>
    <row r="62" spans="1:16" ht="12.75">
      <c r="A62" s="84" t="s">
        <v>155</v>
      </c>
      <c r="B62" s="41">
        <f>'[25]Appendix2 1213 Feeder'!$D18</f>
        <v>-953.603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-1102.603</v>
      </c>
      <c r="K62" s="80">
        <f t="shared" si="18"/>
        <v>0.15624950844324118</v>
      </c>
      <c r="N62" s="73"/>
      <c r="O62" s="90"/>
      <c r="P62" s="66"/>
    </row>
    <row r="63" spans="1:16" ht="12.75">
      <c r="A63" s="84" t="s">
        <v>96</v>
      </c>
      <c r="B63" s="41">
        <f>'[25]Appendix2 1213 Feeder'!$D19</f>
        <v>-158.653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-338.653</v>
      </c>
      <c r="K63" s="80">
        <f t="shared" si="18"/>
        <v>1.1345515054868174</v>
      </c>
      <c r="N63" s="73"/>
      <c r="O63" s="90"/>
      <c r="P63" s="66"/>
    </row>
    <row r="64" spans="1:16" ht="12.75">
      <c r="A64" s="84" t="s">
        <v>156</v>
      </c>
      <c r="B64" s="41">
        <f>'[25]Appendix2 1213 Feeder'!$D20</f>
        <v>3853.578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3847.578</v>
      </c>
      <c r="K64" s="80">
        <f t="shared" si="18"/>
        <v>-0.0015569945645319753</v>
      </c>
      <c r="N64" s="73"/>
      <c r="O64" s="90"/>
      <c r="P64" s="66"/>
    </row>
    <row r="65" spans="1:16" ht="12.75">
      <c r="A65" s="84" t="s">
        <v>94</v>
      </c>
      <c r="B65" s="41">
        <f>'[25]Appendix2 1213 Feeder'!$D21</f>
        <v>-2173.453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-2108.453</v>
      </c>
      <c r="K65" s="80">
        <f t="shared" si="18"/>
        <v>-0.029906328777295852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Feeder'!$D22</f>
        <v>-74.416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-74.416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Feeder'!$D23</f>
        <v>-147.477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-147.477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Feeder'!$D24</f>
        <v>2068.515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2143.515</v>
      </c>
      <c r="K68" s="80">
        <f t="shared" si="18"/>
        <v>0.03625789515667037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3073.024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2919.01</v>
      </c>
      <c r="K70" s="79">
        <f>+(J70-B70)/B70</f>
        <v>-0.050118059605131514</v>
      </c>
      <c r="N70" s="73" t="s">
        <v>234</v>
      </c>
      <c r="O70" s="87" t="s">
        <v>170</v>
      </c>
      <c r="P70" s="94">
        <v>3090390</v>
      </c>
      <c r="Q70" s="95">
        <f>P70-B70*1000</f>
        <v>17366</v>
      </c>
      <c r="S70" s="99">
        <v>2838048</v>
      </c>
    </row>
    <row r="71" spans="1:16" ht="12.75">
      <c r="A71" s="11" t="s">
        <v>21</v>
      </c>
      <c r="B71" s="41">
        <f>'[21]Appendix2 1213 Feeder'!C15</f>
        <v>2120.136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2110.893</v>
      </c>
      <c r="K71" s="80">
        <f>+(J71-B71)/B71</f>
        <v>-0.0043596259862574566</v>
      </c>
      <c r="N71" s="12"/>
      <c r="O71" s="91"/>
      <c r="P71" s="66"/>
    </row>
    <row r="72" spans="1:16" ht="12.75">
      <c r="A72" s="11" t="s">
        <v>69</v>
      </c>
      <c r="B72" s="41">
        <f>'[21]Appendix2 1213 Feeder'!C16</f>
        <v>362.093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228.722</v>
      </c>
      <c r="K72" s="80">
        <f>+(J72-B72)/B72</f>
        <v>-0.36833354966817916</v>
      </c>
      <c r="N72" s="73"/>
      <c r="O72" s="91"/>
      <c r="P72" s="66"/>
    </row>
    <row r="73" spans="1:16" ht="12.75">
      <c r="A73" s="11" t="s">
        <v>70</v>
      </c>
      <c r="B73" s="41">
        <f>'[21]Appendix2 1213 Feeder'!C17</f>
        <v>583.619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572.219</v>
      </c>
      <c r="K73" s="80">
        <f>+(J73-B73)/B73</f>
        <v>-0.019533291411006112</v>
      </c>
      <c r="N73" s="73"/>
      <c r="O73" s="91"/>
      <c r="P73" s="66"/>
    </row>
    <row r="74" spans="1:16" ht="12.75">
      <c r="A74" s="11" t="s">
        <v>71</v>
      </c>
      <c r="B74" s="41">
        <f>'[21]Appendix2 1213 Feeder'!C18</f>
        <v>7.176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7.176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4027.0769999999993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3409.519299999999</v>
      </c>
      <c r="K76" s="79">
        <f>+(J76-B76)/B76</f>
        <v>-0.1533513513647741</v>
      </c>
      <c r="N76" s="73" t="s">
        <v>235</v>
      </c>
      <c r="O76" s="87" t="s">
        <v>171</v>
      </c>
      <c r="P76" s="94">
        <v>3977077</v>
      </c>
      <c r="Q76" s="95">
        <f>P76-B76*1000</f>
        <v>-49999.999999999534</v>
      </c>
      <c r="S76" s="99">
        <v>5778598</v>
      </c>
    </row>
    <row r="77" spans="1:16" ht="12.75">
      <c r="A77" s="21" t="s">
        <v>74</v>
      </c>
      <c r="B77" s="41">
        <f>'[26]Appendix2 Feeder 1213'!$C17</f>
        <v>1547.993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1078.4352999999996</v>
      </c>
      <c r="K77" s="80">
        <f aca="true" t="shared" si="22" ref="K77:K84">+(J77-B77)/B77</f>
        <v>-0.3033332192070638</v>
      </c>
      <c r="N77" s="12"/>
      <c r="O77" s="90"/>
      <c r="P77" s="66"/>
    </row>
    <row r="78" spans="1:16" ht="12.75">
      <c r="A78" s="21" t="s">
        <v>137</v>
      </c>
      <c r="B78" s="41">
        <f>'[26]Appendix2 Feeder 1213'!$C18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1213'!$C19</f>
        <v>96.243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95.243</v>
      </c>
      <c r="K79" s="80">
        <f t="shared" si="22"/>
        <v>-0.010390366052596033</v>
      </c>
      <c r="N79" s="73"/>
      <c r="O79" s="90"/>
      <c r="P79" s="66"/>
    </row>
    <row r="80" spans="1:16" ht="12.75">
      <c r="A80" s="21" t="s">
        <v>76</v>
      </c>
      <c r="B80" s="41">
        <f>'[26]Appendix2 Feeder 1213'!$C20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1213'!$C21</f>
        <v>25.65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23.65</v>
      </c>
      <c r="K81" s="80">
        <f t="shared" si="22"/>
        <v>-0.07797270955165693</v>
      </c>
      <c r="N81" s="73"/>
      <c r="O81" s="90"/>
      <c r="P81" s="66"/>
    </row>
    <row r="82" spans="1:16" ht="12.75">
      <c r="A82" s="21" t="s">
        <v>78</v>
      </c>
      <c r="B82" s="41">
        <f>'[26]Appendix2 Feeder 1213'!$C22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1213'!$C23</f>
        <v>2175.493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2030.493</v>
      </c>
      <c r="K83" s="80">
        <f t="shared" si="22"/>
        <v>-0.06665155897996454</v>
      </c>
      <c r="N83" s="73"/>
      <c r="O83" s="90"/>
      <c r="P83" s="66"/>
    </row>
    <row r="84" spans="1:16" ht="12.75">
      <c r="A84" s="21" t="s">
        <v>80</v>
      </c>
      <c r="B84" s="41">
        <f>'[26]Appendix2 Feeder 1213'!$C24</f>
        <v>52.807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52.807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4875.326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409</v>
      </c>
      <c r="J87" s="37">
        <f>J89+J95+J103</f>
        <v>5015.626</v>
      </c>
      <c r="K87" s="79">
        <f>+(J87-B87)/B87</f>
        <v>0.028777562772212602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350</v>
      </c>
      <c r="J89" s="37">
        <f>+SUM(J90:J93)</f>
        <v>1178.051</v>
      </c>
      <c r="K89" s="79">
        <f>+(J89-B89)/B89</f>
        <v>0.22899146732933343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350</v>
      </c>
      <c r="J92" s="40">
        <f>+B92+SUM(C92:I92)</f>
        <v>646.439</v>
      </c>
      <c r="K92" s="80">
        <f>+(J92-B92)/B92</f>
        <v>2.663810155351141</v>
      </c>
      <c r="N92" s="73"/>
      <c r="O92" s="89"/>
      <c r="P92" s="65"/>
    </row>
    <row r="93" spans="1:16" ht="12.75">
      <c r="A93" s="83" t="s">
        <v>141</v>
      </c>
      <c r="B93" s="41"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1344.963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1342.963</v>
      </c>
      <c r="K95" s="79">
        <f aca="true" t="shared" si="27" ref="K95:K100">+(J95-B95)/B95</f>
        <v>-0.0014870297547218772</v>
      </c>
      <c r="N95" s="73" t="s">
        <v>237</v>
      </c>
      <c r="O95" s="87" t="s">
        <v>172</v>
      </c>
      <c r="P95" s="94">
        <v>1342469</v>
      </c>
      <c r="Q95" s="95">
        <f>P95-B95*1000</f>
        <v>-2494</v>
      </c>
      <c r="S95" s="99">
        <v>-40773</v>
      </c>
    </row>
    <row r="96" spans="1:16" ht="12.75">
      <c r="A96" s="10" t="s">
        <v>15</v>
      </c>
      <c r="B96" s="41">
        <f>'[22]Appendix2 1213 Feeder'!D15</f>
        <v>647.108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706.108</v>
      </c>
      <c r="K96" s="80">
        <f t="shared" si="27"/>
        <v>0.09117488889026253</v>
      </c>
      <c r="N96" s="12"/>
      <c r="O96" s="89"/>
      <c r="P96" s="65"/>
    </row>
    <row r="97" spans="1:16" ht="12.75">
      <c r="A97" s="10" t="s">
        <v>16</v>
      </c>
      <c r="B97" s="41">
        <f>'[22]Appendix2 1213 Feeder'!D16</f>
        <v>40.014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40.014</v>
      </c>
      <c r="K97" s="80">
        <f t="shared" si="27"/>
        <v>0</v>
      </c>
      <c r="N97" s="73"/>
      <c r="O97" s="89"/>
      <c r="P97" s="65"/>
    </row>
    <row r="98" spans="1:16" ht="12.75" hidden="1">
      <c r="A98" s="10" t="s">
        <v>17</v>
      </c>
      <c r="B98" s="41">
        <f>'[22]Appendix2 1213 Feeder'!D17</f>
        <v>0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0</v>
      </c>
      <c r="K98" s="80" t="e">
        <f t="shared" si="27"/>
        <v>#DIV/0!</v>
      </c>
      <c r="N98" s="73"/>
      <c r="O98" s="89"/>
      <c r="P98" s="65"/>
    </row>
    <row r="99" spans="1:16" ht="12.75">
      <c r="A99" s="10" t="s">
        <v>18</v>
      </c>
      <c r="B99" s="41">
        <f>'[22]Appendix2 1213 Feeder'!D18</f>
        <v>585.225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564.225</v>
      </c>
      <c r="K99" s="80">
        <f t="shared" si="27"/>
        <v>-0.03588363449955145</v>
      </c>
      <c r="N99" s="73"/>
      <c r="O99" s="89"/>
      <c r="P99" s="65"/>
    </row>
    <row r="100" spans="1:16" ht="12.75">
      <c r="A100" s="10" t="s">
        <v>19</v>
      </c>
      <c r="B100" s="41">
        <f>'[22]Appendix2 1213 Feeder'!D19</f>
        <v>72.616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32.616</v>
      </c>
      <c r="K100" s="80">
        <f t="shared" si="27"/>
        <v>-0.5508427894678859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2571.812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2494.612</v>
      </c>
      <c r="K103" s="79">
        <f>+(J103-B103)/B103</f>
        <v>-0.030017746242726847</v>
      </c>
      <c r="N103" s="73" t="s">
        <v>238</v>
      </c>
      <c r="O103" s="87" t="s">
        <v>173</v>
      </c>
      <c r="P103" s="94">
        <v>2582172</v>
      </c>
      <c r="Q103" s="95">
        <f>P103-B103*1000</f>
        <v>10360</v>
      </c>
      <c r="S103" s="99">
        <v>126611</v>
      </c>
    </row>
    <row r="104" spans="1:16" ht="12.75">
      <c r="A104" s="11" t="s">
        <v>62</v>
      </c>
      <c r="B104" s="41">
        <f>'[27]Appendix2 1213 Feeder'!D15</f>
        <v>225.828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225.828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Feeder'!D16</f>
        <v>159.248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159.248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Feeder'!D17</f>
        <v>766.854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775.854</v>
      </c>
      <c r="K106" s="80">
        <f t="shared" si="31"/>
        <v>0.011736262704504377</v>
      </c>
      <c r="N106" s="73"/>
      <c r="O106" s="89"/>
      <c r="P106" s="65"/>
    </row>
    <row r="107" spans="1:16" ht="12.75">
      <c r="A107" s="11" t="s">
        <v>65</v>
      </c>
      <c r="B107" s="41">
        <f>'[27]Appendix2 1213 Feeder'!D18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Feeder'!D19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Feeder'!D20</f>
        <v>915.912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841.712</v>
      </c>
      <c r="K109" s="80">
        <f t="shared" si="31"/>
        <v>-0.08101214963882998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25529.792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-290.2</v>
      </c>
      <c r="I111" s="50">
        <f t="shared" si="32"/>
        <v>1112</v>
      </c>
      <c r="J111" s="50">
        <f>+J4+J27+J49+J87</f>
        <v>23764.489117</v>
      </c>
      <c r="K111" s="81">
        <f>+(J111-B111)/B111</f>
        <v>-0.06914677890834364</v>
      </c>
      <c r="N111" s="70"/>
      <c r="O111" s="87"/>
      <c r="P111" s="98">
        <f>SUM(P6:P110)</f>
        <v>25033228</v>
      </c>
      <c r="Q111" s="98">
        <f>SUM(Q6:Q110)</f>
        <v>-496564.0000000001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-50.60000000000002</v>
      </c>
      <c r="I117" s="60"/>
      <c r="J117" s="60">
        <f t="shared" si="33"/>
        <v>-4296.407967000003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6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4628.815000000001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4149.815000000001</v>
      </c>
      <c r="K4" s="77">
        <f>+(J4-B4)/B4</f>
        <v>-0.10348220872944801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961.899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840.899</v>
      </c>
      <c r="K6" s="79">
        <f aca="true" t="shared" si="2" ref="K6:K11">+(J6-B6)/B6</f>
        <v>-0.12579283271944353</v>
      </c>
    </row>
    <row r="7" spans="1:11" ht="12.75">
      <c r="A7" s="10" t="s">
        <v>26</v>
      </c>
      <c r="B7" s="39">
        <f>'2012-13'!J7</f>
        <v>44.425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30.424999999999997</v>
      </c>
      <c r="K7" s="80">
        <f t="shared" si="2"/>
        <v>-0.3151378728193585</v>
      </c>
    </row>
    <row r="8" spans="1:11" ht="12.75">
      <c r="A8" s="10" t="s">
        <v>27</v>
      </c>
      <c r="B8" s="39">
        <f>'2012-13'!J8</f>
        <v>28.370000000000005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8.370000000000005</v>
      </c>
      <c r="K8" s="80">
        <f t="shared" si="2"/>
        <v>-0.7049700387733521</v>
      </c>
    </row>
    <row r="9" spans="1:11" ht="12.75">
      <c r="A9" s="10" t="s">
        <v>110</v>
      </c>
      <c r="B9" s="39">
        <f>'2012-13'!J9</f>
        <v>392.503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'2012-13'!J10</f>
        <v>-54.279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-69.279</v>
      </c>
      <c r="K10" s="80">
        <f t="shared" si="2"/>
        <v>0.2763499696015032</v>
      </c>
    </row>
    <row r="11" spans="1:11" ht="12.75">
      <c r="A11" s="10" t="s">
        <v>82</v>
      </c>
      <c r="B11" s="39">
        <f>'2012-13'!J11</f>
        <v>550.88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478.88</v>
      </c>
      <c r="K11" s="80">
        <f t="shared" si="2"/>
        <v>-0.13069997095556202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-3553.2669999999994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-3738.2669999999994</v>
      </c>
      <c r="K13" s="79">
        <f>+(J13-B13)/B13</f>
        <v>0.05206476180934336</v>
      </c>
    </row>
    <row r="14" spans="1:11" ht="12.75">
      <c r="A14" s="21" t="s">
        <v>85</v>
      </c>
      <c r="B14" s="41">
        <f>'2012-13'!J14</f>
        <v>-6357.623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-6434.623</v>
      </c>
      <c r="K14" s="80">
        <f>+(J14-B14)/B14</f>
        <v>0.012111444796270557</v>
      </c>
    </row>
    <row r="15" spans="1:11" ht="12.75">
      <c r="A15" s="21" t="s">
        <v>86</v>
      </c>
      <c r="B15" s="41">
        <f>'2012-13'!J15</f>
        <v>876.4519999999999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'2012-13'!J16</f>
        <v>175.982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172.982</v>
      </c>
      <c r="K16" s="80">
        <f>+(J16-B16)/B16</f>
        <v>-0.017047198008887272</v>
      </c>
    </row>
    <row r="17" spans="1:11" ht="12.75">
      <c r="A17" s="21" t="s">
        <v>110</v>
      </c>
      <c r="B17" s="41">
        <f>'2012-13'!J17</f>
        <v>1751.922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1646.922</v>
      </c>
      <c r="K17" s="80">
        <f>+(J17-B17)/B17</f>
        <v>-0.05993417515163346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7220.183000000001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7047.183000000001</v>
      </c>
      <c r="K19" s="79">
        <f aca="true" t="shared" si="5" ref="K19:K25">+(J19-B19)/B19</f>
        <v>-0.023960611524666338</v>
      </c>
    </row>
    <row r="20" spans="1:11" ht="12.75">
      <c r="A20" s="11" t="s">
        <v>40</v>
      </c>
      <c r="B20" s="41">
        <f>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'2012-13'!J21</f>
        <v>1230.9650000000001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1186.9650000000001</v>
      </c>
      <c r="K21" s="80">
        <f t="shared" si="5"/>
        <v>-0.035744314419987565</v>
      </c>
    </row>
    <row r="22" spans="1:11" ht="12.75">
      <c r="A22" s="11" t="s">
        <v>143</v>
      </c>
      <c r="B22" s="41">
        <f>'2012-13'!J22</f>
        <v>1488.759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1488.759</v>
      </c>
      <c r="K22" s="80">
        <f t="shared" si="5"/>
        <v>0</v>
      </c>
    </row>
    <row r="23" spans="1:11" ht="12.75">
      <c r="A23" s="11" t="s">
        <v>144</v>
      </c>
      <c r="B23" s="41">
        <f>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'2012-13'!J24</f>
        <v>1080.251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1064.251</v>
      </c>
      <c r="K24" s="80">
        <f t="shared" si="5"/>
        <v>-0.014811372542122156</v>
      </c>
    </row>
    <row r="25" spans="1:11" ht="12.75">
      <c r="A25" s="11" t="s">
        <v>145</v>
      </c>
      <c r="B25" s="41">
        <f>'2012-13'!J25</f>
        <v>2821.896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2708.896</v>
      </c>
      <c r="K25" s="80">
        <f t="shared" si="5"/>
        <v>-0.040043998786631396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7279.599816999999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7255.2677248499995</v>
      </c>
      <c r="K27" s="79">
        <f>+(J27-B27)/B27</f>
        <v>-0.003342504088367236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2194.9210000000003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2063.9210000000003</v>
      </c>
      <c r="K29" s="79">
        <f aca="true" t="shared" si="9" ref="K29:K35">+(J29-B29)/B29</f>
        <v>-0.059683241446958676</v>
      </c>
    </row>
    <row r="30" spans="1:11" ht="12.75">
      <c r="A30" s="10" t="s">
        <v>9</v>
      </c>
      <c r="B30" s="41">
        <f>'2012-13'!J30</f>
        <v>1283.228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0</v>
      </c>
    </row>
    <row r="31" spans="1:11" ht="12.75">
      <c r="A31" s="10" t="s">
        <v>11</v>
      </c>
      <c r="B31" s="41">
        <f>'2012-13'!J31</f>
        <v>77.80099999999999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57.80099999999999</v>
      </c>
      <c r="K31" s="80">
        <f t="shared" si="9"/>
        <v>-0.25706610454878476</v>
      </c>
    </row>
    <row r="32" spans="1:11" ht="12.75">
      <c r="A32" s="10" t="s">
        <v>12</v>
      </c>
      <c r="B32" s="41">
        <f>'2012-13'!J32</f>
        <v>66.025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'2012-13'!J34</f>
        <v>65.68299999999999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'2012-13'!J35</f>
        <v>308.795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283.795</v>
      </c>
      <c r="K35" s="80">
        <f t="shared" si="9"/>
        <v>-0.08095986010136175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2999.8688169999996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3142.5367248499997</v>
      </c>
      <c r="K37" s="79">
        <f>+(J37-B37)/B37</f>
        <v>0.04755804888584238</v>
      </c>
    </row>
    <row r="38" spans="1:11" ht="12.75">
      <c r="A38" s="11" t="s">
        <v>57</v>
      </c>
      <c r="B38" s="41">
        <f>'2012-13'!J38</f>
        <v>123.131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'2012-13'!J39</f>
        <v>2772.2598169999997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2919.92772485</v>
      </c>
      <c r="K39" s="79">
        <f>+(J39-B39)/B39</f>
        <v>0.05326625843092835</v>
      </c>
    </row>
    <row r="40" spans="1:11" ht="12.75">
      <c r="A40" s="11" t="s">
        <v>84</v>
      </c>
      <c r="B40" s="41">
        <f>'2012-13'!J40</f>
        <v>104.478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99.478</v>
      </c>
      <c r="K40" s="79">
        <f>+(J40-B40)/B40</f>
        <v>-0.04785696510270105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2084.81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2048.81</v>
      </c>
      <c r="K42" s="79">
        <f aca="true" t="shared" si="13" ref="K42:K47">+(J42-B42)/B42</f>
        <v>-0.017267760611278726</v>
      </c>
    </row>
    <row r="43" spans="1:11" ht="12.75">
      <c r="A43" s="83" t="s">
        <v>149</v>
      </c>
      <c r="B43" s="41">
        <f>'2012-13'!J43</f>
        <v>192.583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156.583</v>
      </c>
      <c r="K43" s="80">
        <f t="shared" si="13"/>
        <v>-0.18693238759392056</v>
      </c>
    </row>
    <row r="44" spans="1:11" ht="12.75">
      <c r="A44" s="83" t="s">
        <v>150</v>
      </c>
      <c r="B44" s="41">
        <f>'2012-13'!J44</f>
        <v>-67.002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'2012-13'!J45</f>
        <v>1645.609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'2012-13'!J46</f>
        <v>91.179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'2012-13'!J47</f>
        <v>222.441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6840.448299999998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6032.755649999999</v>
      </c>
      <c r="K49" s="79">
        <f>+(J49-B49)/B49</f>
        <v>-0.11807598194989637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1646.9799999999998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1454.9049999999997</v>
      </c>
      <c r="K51" s="79">
        <f aca="true" t="shared" si="16" ref="K51:K56">+(J51-B51)/B51</f>
        <v>-0.11662254550753505</v>
      </c>
    </row>
    <row r="52" spans="1:11" ht="12.75">
      <c r="A52" s="10" t="s">
        <v>31</v>
      </c>
      <c r="B52" s="41">
        <f>'2012-13'!J52</f>
        <v>653.76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602.76</v>
      </c>
      <c r="K52" s="80">
        <f t="shared" si="16"/>
        <v>-0.07801027900146842</v>
      </c>
    </row>
    <row r="53" spans="1:11" ht="12.75">
      <c r="A53" s="10" t="s">
        <v>32</v>
      </c>
      <c r="B53" s="41">
        <f>'2012-13'!J53</f>
        <v>582.7719999999999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564.7719999999999</v>
      </c>
      <c r="K53" s="80">
        <f t="shared" si="16"/>
        <v>-0.030886864845943187</v>
      </c>
    </row>
    <row r="54" spans="1:11" ht="12.75">
      <c r="A54" s="10" t="s">
        <v>33</v>
      </c>
      <c r="B54" s="41">
        <f>'2012-13'!J54</f>
        <v>714.838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700.1379999999999</v>
      </c>
      <c r="K54" s="80">
        <f t="shared" si="16"/>
        <v>-0.02056409983800532</v>
      </c>
    </row>
    <row r="55" spans="1:11" ht="12.75">
      <c r="A55" s="27" t="s">
        <v>113</v>
      </c>
      <c r="B55" s="41">
        <f>'2012-13'!J55</f>
        <v>-424.60400000000004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-532.979</v>
      </c>
      <c r="K55" s="80">
        <f t="shared" si="16"/>
        <v>0.25523782159376734</v>
      </c>
    </row>
    <row r="56" spans="1:11" ht="12.75">
      <c r="A56" s="10" t="s">
        <v>34</v>
      </c>
      <c r="B56" s="41">
        <f>'2012-13'!J56</f>
        <v>120.214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-1135.061000000001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-1388.8110000000001</v>
      </c>
      <c r="K58" s="79">
        <f aca="true" t="shared" si="18" ref="K58:K68">+(J58-B58)/B58</f>
        <v>0.22355626702000936</v>
      </c>
    </row>
    <row r="59" spans="1:11" ht="12.75">
      <c r="A59" s="84" t="s">
        <v>160</v>
      </c>
      <c r="B59" s="41">
        <f>'2012-13'!J59</f>
        <v>-1816.232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-1857.532</v>
      </c>
      <c r="K59" s="80">
        <f t="shared" si="18"/>
        <v>0.022739385717243148</v>
      </c>
    </row>
    <row r="60" spans="1:11" ht="12.75">
      <c r="A60" s="84" t="s">
        <v>153</v>
      </c>
      <c r="B60" s="41">
        <f>'2012-13'!J60</f>
        <v>-4398.469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-4473.469</v>
      </c>
      <c r="K60" s="80">
        <f t="shared" si="18"/>
        <v>0.017051387653294815</v>
      </c>
    </row>
    <row r="61" spans="1:11" ht="12.75">
      <c r="A61" s="84" t="s">
        <v>154</v>
      </c>
      <c r="B61" s="41">
        <f>'2012-13'!J61</f>
        <v>2860.149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2857.399</v>
      </c>
      <c r="K61" s="80">
        <f t="shared" si="18"/>
        <v>-0.0009614883700114924</v>
      </c>
    </row>
    <row r="62" spans="1:11" ht="12.75">
      <c r="A62" s="84" t="s">
        <v>155</v>
      </c>
      <c r="B62" s="41">
        <f>'2012-13'!J62</f>
        <v>-1102.603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-1232.603</v>
      </c>
      <c r="K62" s="80">
        <f t="shared" si="18"/>
        <v>0.11790281724247076</v>
      </c>
    </row>
    <row r="63" spans="1:11" ht="12.75">
      <c r="A63" s="84" t="s">
        <v>96</v>
      </c>
      <c r="B63" s="41">
        <f>'2012-13'!J63</f>
        <v>-338.653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-358.653</v>
      </c>
      <c r="K63" s="80">
        <f t="shared" si="18"/>
        <v>0.05905750133617597</v>
      </c>
    </row>
    <row r="64" spans="1:11" ht="12.75">
      <c r="A64" s="84" t="s">
        <v>156</v>
      </c>
      <c r="B64" s="41">
        <f>'2012-13'!J64</f>
        <v>3847.578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3835.578</v>
      </c>
      <c r="K64" s="80">
        <f t="shared" si="18"/>
        <v>-0.0031188451540163707</v>
      </c>
    </row>
    <row r="65" spans="1:11" ht="12.75">
      <c r="A65" s="84" t="s">
        <v>94</v>
      </c>
      <c r="B65" s="41">
        <f>'2012-13'!J65</f>
        <v>-2108.453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-2081.153</v>
      </c>
      <c r="K65" s="80">
        <f t="shared" si="18"/>
        <v>-0.012947881693355357</v>
      </c>
    </row>
    <row r="66" spans="1:11" ht="12.75" customHeight="1">
      <c r="A66" s="84" t="s">
        <v>157</v>
      </c>
      <c r="B66" s="41">
        <f>'2012-13'!J66</f>
        <v>-74.416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'2012-13'!J67</f>
        <v>-147.477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'2012-13'!J68</f>
        <v>2143.515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2143.515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2919.01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2722.01</v>
      </c>
      <c r="K70" s="79">
        <f>+(J70-B70)/B70</f>
        <v>-0.06748863484537565</v>
      </c>
    </row>
    <row r="71" spans="1:11" ht="12.75">
      <c r="A71" s="11" t="s">
        <v>21</v>
      </c>
      <c r="B71" s="41">
        <f>'2012-13'!J71</f>
        <v>2110.893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1959.893</v>
      </c>
      <c r="K71" s="80">
        <f>+(J71-B71)/B71</f>
        <v>-0.07153370635081929</v>
      </c>
    </row>
    <row r="72" spans="1:11" ht="12.75">
      <c r="A72" s="11" t="s">
        <v>69</v>
      </c>
      <c r="B72" s="41">
        <f>'2012-13'!J72</f>
        <v>228.722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215.722</v>
      </c>
      <c r="K72" s="80">
        <f>+(J72-B72)/B72</f>
        <v>-0.05683755825849721</v>
      </c>
    </row>
    <row r="73" spans="1:11" ht="12.75">
      <c r="A73" s="11" t="s">
        <v>70</v>
      </c>
      <c r="B73" s="41">
        <f>'2012-13'!J73</f>
        <v>572.219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539.219</v>
      </c>
      <c r="K73" s="80">
        <f>+(J73-B73)/B73</f>
        <v>-0.05767022765759263</v>
      </c>
    </row>
    <row r="74" spans="1:11" ht="12.75">
      <c r="A74" s="11" t="s">
        <v>71</v>
      </c>
      <c r="B74" s="41">
        <f>'2012-13'!J74</f>
        <v>7.176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3409.519299999999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3244.6516499999993</v>
      </c>
      <c r="K76" s="79">
        <f aca="true" t="shared" si="22" ref="K76:K84">+(J76-B76)/B76</f>
        <v>-0.04835510096687229</v>
      </c>
    </row>
    <row r="77" spans="1:11" ht="12.75">
      <c r="A77" s="21" t="s">
        <v>74</v>
      </c>
      <c r="B77" s="41">
        <f>'2012-13'!J77</f>
        <v>1078.4352999999996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1026.5676499999997</v>
      </c>
      <c r="K77" s="80">
        <f t="shared" si="22"/>
        <v>-0.048095282118454326</v>
      </c>
    </row>
    <row r="78" spans="1:11" ht="12.75">
      <c r="A78" s="21" t="s">
        <v>137</v>
      </c>
      <c r="B78" s="41">
        <f>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'2012-13'!J79</f>
        <v>95.243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94.243</v>
      </c>
      <c r="K79" s="80">
        <f t="shared" si="22"/>
        <v>-0.01049945927784719</v>
      </c>
    </row>
    <row r="80" spans="1:11" ht="12.75">
      <c r="A80" s="21" t="s">
        <v>76</v>
      </c>
      <c r="B80" s="41">
        <f>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'2012-13'!J81</f>
        <v>23.65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18.65</v>
      </c>
      <c r="K81" s="80">
        <f t="shared" si="22"/>
        <v>-0.21141649048625794</v>
      </c>
    </row>
    <row r="82" spans="1:11" ht="12.75">
      <c r="A82" s="21" t="s">
        <v>78</v>
      </c>
      <c r="B82" s="41">
        <f>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'2012-13'!J83</f>
        <v>2030.493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1923.493</v>
      </c>
      <c r="K83" s="80">
        <f t="shared" si="22"/>
        <v>-0.05269656186945732</v>
      </c>
    </row>
    <row r="84" spans="1:11" ht="12.75">
      <c r="A84" s="21" t="s">
        <v>80</v>
      </c>
      <c r="B84" s="41">
        <f>'2012-13'!J84</f>
        <v>52.807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5015.626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4704.626</v>
      </c>
      <c r="K87" s="79">
        <f>+(J87-B87)/B87</f>
        <v>-0.06200621816698454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1178.051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967.751</v>
      </c>
      <c r="K89" s="79">
        <f>+(J89-B89)/B89</f>
        <v>-0.1785151916173408</v>
      </c>
    </row>
    <row r="90" spans="1:11" ht="12.75">
      <c r="A90" s="83" t="s">
        <v>139</v>
      </c>
      <c r="B90" s="41">
        <f>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'2012-13'!J92</f>
        <v>646.439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496.93899999999996</v>
      </c>
      <c r="K92" s="80">
        <f>+(J92-B92)/B92</f>
        <v>-0.2312669872950116</v>
      </c>
    </row>
    <row r="93" spans="1:11" ht="12.75">
      <c r="A93" s="83" t="s">
        <v>141</v>
      </c>
      <c r="B93" s="41">
        <f>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1342.963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1290.963</v>
      </c>
      <c r="K95" s="79">
        <f aca="true" t="shared" si="27" ref="K95:K100">+(J95-B95)/B95</f>
        <v>-0.038720351938214236</v>
      </c>
    </row>
    <row r="96" spans="1:11" ht="12.75">
      <c r="A96" s="10" t="s">
        <v>15</v>
      </c>
      <c r="B96" s="41">
        <f>'2012-13'!J96</f>
        <v>706.108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700.108</v>
      </c>
      <c r="K96" s="80">
        <f t="shared" si="27"/>
        <v>-0.008497283701643375</v>
      </c>
    </row>
    <row r="97" spans="1:11" ht="12.75">
      <c r="A97" s="10" t="s">
        <v>16</v>
      </c>
      <c r="B97" s="41">
        <f>'2012-13'!J97</f>
        <v>40.014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'2012-13'!J98</f>
        <v>0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'2012-13'!J99</f>
        <v>564.225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538.225</v>
      </c>
      <c r="K99" s="80">
        <f t="shared" si="27"/>
        <v>-0.046080907439408035</v>
      </c>
    </row>
    <row r="100" spans="1:11" ht="12.75">
      <c r="A100" s="10" t="s">
        <v>19</v>
      </c>
      <c r="B100" s="41">
        <f>'2012-13'!J100</f>
        <v>32.616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12.616</v>
      </c>
      <c r="K100" s="80">
        <f t="shared" si="27"/>
        <v>-0.613195977434388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2494.612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2445.9120000000003</v>
      </c>
      <c r="K103" s="79">
        <f aca="true" t="shared" si="30" ref="K103:K109">+(J103-B103)/B103</f>
        <v>-0.01952207397382832</v>
      </c>
    </row>
    <row r="104" spans="1:11" ht="12.75">
      <c r="A104" s="11" t="s">
        <v>62</v>
      </c>
      <c r="B104" s="41">
        <f>'2012-13'!J104</f>
        <v>225.828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225.828</v>
      </c>
      <c r="K104" s="80">
        <f t="shared" si="30"/>
        <v>0</v>
      </c>
    </row>
    <row r="105" spans="1:11" ht="12.75">
      <c r="A105" s="11" t="s">
        <v>63</v>
      </c>
      <c r="B105" s="41">
        <f>'2012-13'!J105</f>
        <v>159.248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159.248</v>
      </c>
      <c r="K105" s="80">
        <f t="shared" si="30"/>
        <v>0</v>
      </c>
    </row>
    <row r="106" spans="1:11" ht="12.75">
      <c r="A106" s="11" t="s">
        <v>64</v>
      </c>
      <c r="B106" s="41">
        <f>'2012-13'!J106</f>
        <v>775.854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727.154</v>
      </c>
      <c r="K106" s="80">
        <f t="shared" si="30"/>
        <v>-0.06276954169212254</v>
      </c>
    </row>
    <row r="107" spans="1:11" ht="12.75">
      <c r="A107" s="11" t="s">
        <v>65</v>
      </c>
      <c r="B107" s="41">
        <f>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'2012-13'!J109</f>
        <v>841.712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841.712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23764.489117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22142.46437485</v>
      </c>
      <c r="K111" s="81">
        <f>+(J111-B111)/B111</f>
        <v>-0.06825413894505657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-2674.3832248500003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52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4149.815000000001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3796.8150000000014</v>
      </c>
      <c r="K4" s="77">
        <f>+(J4-B4)/B4</f>
        <v>-0.08506403297496391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840.899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802.899</v>
      </c>
      <c r="K6" s="79">
        <f aca="true" t="shared" si="2" ref="K6:K11">+(J6-B6)/B6</f>
        <v>-0.04518973146596678</v>
      </c>
    </row>
    <row r="7" spans="1:11" ht="12.75">
      <c r="A7" s="10" t="s">
        <v>26</v>
      </c>
      <c r="B7" s="39">
        <f>'2013-14'!J7</f>
        <v>30.424999999999997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17.424999999999997</v>
      </c>
      <c r="K7" s="80">
        <f t="shared" si="2"/>
        <v>-0.4272801972062449</v>
      </c>
    </row>
    <row r="8" spans="1:11" ht="12.75">
      <c r="A8" s="10" t="s">
        <v>27</v>
      </c>
      <c r="B8" s="39">
        <f>'2013-14'!J8</f>
        <v>8.370000000000005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8.370000000000005</v>
      </c>
      <c r="K8" s="80">
        <f t="shared" si="2"/>
        <v>0</v>
      </c>
    </row>
    <row r="9" spans="1:11" ht="12.75">
      <c r="A9" s="10" t="s">
        <v>110</v>
      </c>
      <c r="B9" s="39">
        <f>'2013-14'!J9</f>
        <v>392.503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'2013-14'!J10</f>
        <v>-69.279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-69.279</v>
      </c>
      <c r="K10" s="80">
        <f t="shared" si="2"/>
        <v>0</v>
      </c>
    </row>
    <row r="11" spans="1:11" ht="12.75">
      <c r="A11" s="10" t="s">
        <v>82</v>
      </c>
      <c r="B11" s="39">
        <f>'2013-14'!J11</f>
        <v>478.88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453.88</v>
      </c>
      <c r="K11" s="80">
        <f t="shared" si="2"/>
        <v>-0.052205145339124626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-3738.2669999999994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-3845.2669999999994</v>
      </c>
      <c r="K13" s="79">
        <f>+(J13-B13)/B13</f>
        <v>0.028622888627270342</v>
      </c>
    </row>
    <row r="14" spans="1:11" ht="12.75">
      <c r="A14" s="21" t="s">
        <v>85</v>
      </c>
      <c r="B14" s="41">
        <f>'2013-14'!J14</f>
        <v>-6434.623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-6446.623</v>
      </c>
      <c r="K14" s="80">
        <f>+(J14-B14)/B14</f>
        <v>0.0018649111222211465</v>
      </c>
    </row>
    <row r="15" spans="1:11" ht="12.75">
      <c r="A15" s="21" t="s">
        <v>86</v>
      </c>
      <c r="B15" s="41">
        <f>'2013-14'!J15</f>
        <v>876.4519999999999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'2013-14'!J16</f>
        <v>172.982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170.982</v>
      </c>
      <c r="K16" s="80">
        <f>+(J16-B16)/B16</f>
        <v>-0.011561896613520481</v>
      </c>
    </row>
    <row r="17" spans="1:11" ht="12.75">
      <c r="A17" s="21" t="s">
        <v>110</v>
      </c>
      <c r="B17" s="41">
        <f>'2013-14'!J17</f>
        <v>1646.922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1553.922</v>
      </c>
      <c r="K17" s="80">
        <f>+(J17-B17)/B17</f>
        <v>-0.05646897667284789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7047.183000000001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6839.183000000001</v>
      </c>
      <c r="K19" s="79">
        <f aca="true" t="shared" si="5" ref="K19:K25">+(J19-B19)/B19</f>
        <v>-0.029515339675441944</v>
      </c>
    </row>
    <row r="20" spans="1:11" ht="12.75">
      <c r="A20" s="11" t="s">
        <v>40</v>
      </c>
      <c r="B20" s="41">
        <f>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'2013-14'!J21</f>
        <v>1186.9650000000001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1166.9650000000001</v>
      </c>
      <c r="K21" s="80">
        <f t="shared" si="5"/>
        <v>-0.016849696494841884</v>
      </c>
    </row>
    <row r="22" spans="1:11" ht="12.75">
      <c r="A22" s="11" t="s">
        <v>143</v>
      </c>
      <c r="B22" s="41">
        <f>'2013-14'!J22</f>
        <v>1488.759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1418.759</v>
      </c>
      <c r="K22" s="80">
        <f t="shared" si="5"/>
        <v>-0.0470190272569301</v>
      </c>
    </row>
    <row r="23" spans="1:11" ht="12.75">
      <c r="A23" s="11" t="s">
        <v>144</v>
      </c>
      <c r="B23" s="41">
        <f>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'2013-14'!J24</f>
        <v>1064.251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1021.251</v>
      </c>
      <c r="K24" s="80">
        <f t="shared" si="5"/>
        <v>-0.040404002439274195</v>
      </c>
    </row>
    <row r="25" spans="1:11" ht="12.75">
      <c r="A25" s="11" t="s">
        <v>145</v>
      </c>
      <c r="B25" s="41">
        <f>'2013-14'!J25</f>
        <v>2708.896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2633.896</v>
      </c>
      <c r="K25" s="80">
        <f t="shared" si="5"/>
        <v>-0.027686555703873458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7255.2677248499995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7284.6690280924995</v>
      </c>
      <c r="K27" s="79">
        <f>+(J27-B27)/B27</f>
        <v>0.004052407761852496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2063.9210000000003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2029.9210000000003</v>
      </c>
      <c r="K29" s="79">
        <f aca="true" t="shared" si="9" ref="K29:K35">+(J29-B29)/B29</f>
        <v>-0.016473498743411204</v>
      </c>
    </row>
    <row r="30" spans="1:11" ht="12.75">
      <c r="A30" s="10" t="s">
        <v>9</v>
      </c>
      <c r="B30" s="41">
        <f>'2013-14'!J30</f>
        <v>1283.228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0</v>
      </c>
    </row>
    <row r="31" spans="1:11" ht="12.75">
      <c r="A31" s="10" t="s">
        <v>11</v>
      </c>
      <c r="B31" s="41">
        <f>'2013-14'!J31</f>
        <v>57.80099999999999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57.80099999999999</v>
      </c>
      <c r="K31" s="80">
        <f t="shared" si="9"/>
        <v>0</v>
      </c>
    </row>
    <row r="32" spans="1:11" ht="12.75">
      <c r="A32" s="10" t="s">
        <v>12</v>
      </c>
      <c r="B32" s="41">
        <f>'2013-14'!J32</f>
        <v>66.025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'2013-14'!J34</f>
        <v>65.68299999999999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'2013-14'!J35</f>
        <v>283.795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253.79500000000002</v>
      </c>
      <c r="K35" s="80">
        <f t="shared" si="9"/>
        <v>-0.10571010764812629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3142.5367248499997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3231.9380280924997</v>
      </c>
      <c r="K37" s="79">
        <f>+(J37-B37)/B37</f>
        <v>0.028448769599269317</v>
      </c>
    </row>
    <row r="38" spans="1:11" ht="12.75">
      <c r="A38" s="11" t="s">
        <v>57</v>
      </c>
      <c r="B38" s="41">
        <f>'2013-14'!J38</f>
        <v>123.131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'2013-14'!J39</f>
        <v>2919.92772485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3011.3290280925</v>
      </c>
      <c r="K39" s="79">
        <f>+(J39-B39)/B39</f>
        <v>0.031302590973273293</v>
      </c>
    </row>
    <row r="40" spans="1:11" ht="12.75">
      <c r="A40" s="11" t="s">
        <v>84</v>
      </c>
      <c r="B40" s="41">
        <f>'2013-14'!J40</f>
        <v>99.478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97.478</v>
      </c>
      <c r="K40" s="79">
        <f>+(J40-B40)/B40</f>
        <v>-0.02010494782766039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2048.81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2022.81</v>
      </c>
      <c r="K42" s="79">
        <f aca="true" t="shared" si="13" ref="K42:K47">+(J42-B42)/B42</f>
        <v>-0.01269029338982141</v>
      </c>
    </row>
    <row r="43" spans="1:11" ht="12.75">
      <c r="A43" s="83" t="s">
        <v>149</v>
      </c>
      <c r="B43" s="41">
        <f>'2013-14'!J43</f>
        <v>156.583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130.583</v>
      </c>
      <c r="K43" s="80">
        <f t="shared" si="13"/>
        <v>-0.16604612250372008</v>
      </c>
    </row>
    <row r="44" spans="1:11" ht="12.75">
      <c r="A44" s="83" t="s">
        <v>150</v>
      </c>
      <c r="B44" s="41">
        <f>'2013-14'!J44</f>
        <v>-67.002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'2013-14'!J45</f>
        <v>1645.609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'2013-14'!J46</f>
        <v>91.179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'2013-14'!J47</f>
        <v>222.441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6032.755649999999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5012.9133999999995</v>
      </c>
      <c r="K49" s="79">
        <f>+(J49-B49)/B49</f>
        <v>-0.16905081345371578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1454.9049999999997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1292.9049999999997</v>
      </c>
      <c r="K51" s="79">
        <f aca="true" t="shared" si="16" ref="K51:K56">+(J51-B51)/B51</f>
        <v>-0.11134747629570317</v>
      </c>
    </row>
    <row r="52" spans="1:11" ht="12.75">
      <c r="A52" s="10" t="s">
        <v>31</v>
      </c>
      <c r="B52" s="41">
        <f>'2013-14'!J52</f>
        <v>602.76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528.76</v>
      </c>
      <c r="K52" s="80">
        <f t="shared" si="16"/>
        <v>-0.1227685977835291</v>
      </c>
    </row>
    <row r="53" spans="1:11" ht="12.75">
      <c r="A53" s="10" t="s">
        <v>32</v>
      </c>
      <c r="B53" s="41">
        <f>'2013-14'!J53</f>
        <v>564.7719999999999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496.77199999999993</v>
      </c>
      <c r="K53" s="80">
        <f t="shared" si="16"/>
        <v>-0.12040256953248392</v>
      </c>
    </row>
    <row r="54" spans="1:11" ht="12.75">
      <c r="A54" s="10" t="s">
        <v>33</v>
      </c>
      <c r="B54" s="41">
        <f>'2013-14'!J54</f>
        <v>700.1379999999999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700.1379999999999</v>
      </c>
      <c r="K54" s="80">
        <f t="shared" si="16"/>
        <v>0</v>
      </c>
    </row>
    <row r="55" spans="1:11" ht="12.75">
      <c r="A55" s="27" t="s">
        <v>113</v>
      </c>
      <c r="B55" s="41">
        <f>'2013-14'!J55</f>
        <v>-532.979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-552.979</v>
      </c>
      <c r="K55" s="80">
        <f t="shared" si="16"/>
        <v>0.037524930625784506</v>
      </c>
    </row>
    <row r="56" spans="1:11" ht="12.75">
      <c r="A56" s="10" t="s">
        <v>34</v>
      </c>
      <c r="B56" s="41">
        <f>'2013-14'!J56</f>
        <v>120.214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-1388.8110000000001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-2092.616</v>
      </c>
      <c r="K58" s="79">
        <f aca="true" t="shared" si="18" ref="K58:K68">+(J58-B58)/B58</f>
        <v>0.5067680195505362</v>
      </c>
    </row>
    <row r="59" spans="1:11" ht="12.75">
      <c r="A59" s="84" t="s">
        <v>160</v>
      </c>
      <c r="B59" s="41">
        <f>'2013-14'!J59</f>
        <v>-1857.532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-1898.118</v>
      </c>
      <c r="K59" s="80">
        <f t="shared" si="18"/>
        <v>0.02184942170579027</v>
      </c>
    </row>
    <row r="60" spans="1:11" ht="12.75">
      <c r="A60" s="84" t="s">
        <v>153</v>
      </c>
      <c r="B60" s="41">
        <f>'2013-14'!J60</f>
        <v>-4473.469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-4698.469</v>
      </c>
      <c r="K60" s="80">
        <f t="shared" si="18"/>
        <v>0.05029653720636043</v>
      </c>
    </row>
    <row r="61" spans="1:11" ht="12.75">
      <c r="A61" s="84" t="s">
        <v>154</v>
      </c>
      <c r="B61" s="41">
        <f>'2013-14'!J61</f>
        <v>2857.399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2841.334</v>
      </c>
      <c r="K61" s="80">
        <f t="shared" si="18"/>
        <v>-0.005622245965649199</v>
      </c>
    </row>
    <row r="62" spans="1:11" ht="12.75">
      <c r="A62" s="84" t="s">
        <v>155</v>
      </c>
      <c r="B62" s="41">
        <f>'2013-14'!J62</f>
        <v>-1232.603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-1362.603</v>
      </c>
      <c r="K62" s="80">
        <f t="shared" si="18"/>
        <v>0.10546785948111435</v>
      </c>
    </row>
    <row r="63" spans="1:11" ht="12.75">
      <c r="A63" s="84" t="s">
        <v>96</v>
      </c>
      <c r="B63" s="41">
        <f>'2013-14'!J63</f>
        <v>-358.653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-378.653</v>
      </c>
      <c r="K63" s="80">
        <f t="shared" si="18"/>
        <v>0.05576420662869124</v>
      </c>
    </row>
    <row r="64" spans="1:11" ht="12.75">
      <c r="A64" s="84" t="s">
        <v>156</v>
      </c>
      <c r="B64" s="41">
        <f>'2013-14'!J64</f>
        <v>3835.578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3835.578</v>
      </c>
      <c r="K64" s="80">
        <f t="shared" si="18"/>
        <v>0</v>
      </c>
    </row>
    <row r="65" spans="1:11" ht="12.75">
      <c r="A65" s="84" t="s">
        <v>94</v>
      </c>
      <c r="B65" s="41">
        <f>'2013-14'!J65</f>
        <v>-2081.153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-2053.307</v>
      </c>
      <c r="K65" s="80">
        <f t="shared" si="18"/>
        <v>-0.013380083059726992</v>
      </c>
    </row>
    <row r="66" spans="1:11" ht="12.75" customHeight="1">
      <c r="A66" s="84" t="s">
        <v>157</v>
      </c>
      <c r="B66" s="41">
        <f>'2013-14'!J66</f>
        <v>-74.416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'2013-14'!J67</f>
        <v>-147.477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'2013-14'!J68</f>
        <v>2143.515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1843.5149999999999</v>
      </c>
      <c r="K68" s="80">
        <f t="shared" si="18"/>
        <v>-0.13995703319081043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2722.01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2708.01</v>
      </c>
      <c r="K70" s="79">
        <f>+(J70-B70)/B70</f>
        <v>-0.005143258107060591</v>
      </c>
    </row>
    <row r="71" spans="1:11" ht="12.75">
      <c r="A71" s="11" t="s">
        <v>21</v>
      </c>
      <c r="B71" s="41">
        <f>'2013-14'!J71</f>
        <v>1959.893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1959.893</v>
      </c>
      <c r="K71" s="80">
        <f>+(J71-B71)/B71</f>
        <v>0</v>
      </c>
    </row>
    <row r="72" spans="1:11" ht="12.75">
      <c r="A72" s="11" t="s">
        <v>69</v>
      </c>
      <c r="B72" s="41">
        <f>'2013-14'!J72</f>
        <v>215.722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201.722</v>
      </c>
      <c r="K72" s="80">
        <f>+(J72-B72)/B72</f>
        <v>-0.06489834138381806</v>
      </c>
    </row>
    <row r="73" spans="1:11" ht="12.75">
      <c r="A73" s="11" t="s">
        <v>70</v>
      </c>
      <c r="B73" s="41">
        <f>'2013-14'!J73</f>
        <v>539.219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539.219</v>
      </c>
      <c r="K73" s="80">
        <f>+(J73-B73)/B73</f>
        <v>0</v>
      </c>
    </row>
    <row r="74" spans="1:11" ht="12.75">
      <c r="A74" s="11" t="s">
        <v>71</v>
      </c>
      <c r="B74" s="41">
        <f>'2013-14'!J74</f>
        <v>7.176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3244.6516499999993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3104.6143999999995</v>
      </c>
      <c r="K76" s="79">
        <f aca="true" t="shared" si="22" ref="K76:K84">+(J76-B76)/B76</f>
        <v>-0.043159409732012335</v>
      </c>
    </row>
    <row r="77" spans="1:11" ht="12.75">
      <c r="A77" s="21" t="s">
        <v>74</v>
      </c>
      <c r="B77" s="41">
        <f>'2013-14'!J77</f>
        <v>1026.5676499999997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1071.5303999999996</v>
      </c>
      <c r="K77" s="80">
        <f t="shared" si="22"/>
        <v>0.043799110560321985</v>
      </c>
    </row>
    <row r="78" spans="1:11" ht="12.75">
      <c r="A78" s="21" t="s">
        <v>137</v>
      </c>
      <c r="B78" s="41">
        <f>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'2013-14'!J79</f>
        <v>94.243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92.243</v>
      </c>
      <c r="K79" s="80">
        <f t="shared" si="22"/>
        <v>-0.021221735301295588</v>
      </c>
    </row>
    <row r="80" spans="1:11" ht="12.75">
      <c r="A80" s="21" t="s">
        <v>76</v>
      </c>
      <c r="B80" s="41">
        <f>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'2013-14'!J81</f>
        <v>18.65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18.65</v>
      </c>
      <c r="K81" s="80">
        <f t="shared" si="22"/>
        <v>0</v>
      </c>
    </row>
    <row r="82" spans="1:11" ht="12.75">
      <c r="A82" s="21" t="s">
        <v>78</v>
      </c>
      <c r="B82" s="41">
        <f>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'2013-14'!J83</f>
        <v>1923.493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1740.493</v>
      </c>
      <c r="K83" s="80">
        <f t="shared" si="22"/>
        <v>-0.095139415636033</v>
      </c>
    </row>
    <row r="84" spans="1:11" ht="12.75">
      <c r="A84" s="21" t="s">
        <v>80</v>
      </c>
      <c r="B84" s="41">
        <f>'2013-14'!J84</f>
        <v>52.807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4704.626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4588.826</v>
      </c>
      <c r="K87" s="79">
        <f>+(J87-B87)/B87</f>
        <v>-0.02461407134169649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967.751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926.951</v>
      </c>
      <c r="K89" s="79">
        <f>+(J89-B89)/B89</f>
        <v>-0.04215960510503214</v>
      </c>
    </row>
    <row r="90" spans="1:11" ht="12.75">
      <c r="A90" s="83" t="s">
        <v>139</v>
      </c>
      <c r="B90" s="41">
        <f>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'2013-14'!J92</f>
        <v>496.93899999999996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482.93899999999996</v>
      </c>
      <c r="K92" s="80">
        <f>+(J92-B92)/B92</f>
        <v>-0.028172471872805315</v>
      </c>
    </row>
    <row r="93" spans="1:11" ht="12.75">
      <c r="A93" s="83" t="s">
        <v>141</v>
      </c>
      <c r="B93" s="41">
        <f>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1290.963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1220.963</v>
      </c>
      <c r="K95" s="79">
        <f aca="true" t="shared" si="27" ref="K95:K100">+(J95-B95)/B95</f>
        <v>-0.0542230877259844</v>
      </c>
    </row>
    <row r="96" spans="1:11" ht="12.75">
      <c r="A96" s="10" t="s">
        <v>15</v>
      </c>
      <c r="B96" s="41">
        <f>'2013-14'!J96</f>
        <v>700.108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650.108</v>
      </c>
      <c r="K96" s="80">
        <f t="shared" si="27"/>
        <v>-0.07141755272043743</v>
      </c>
    </row>
    <row r="97" spans="1:11" ht="12.75">
      <c r="A97" s="10" t="s">
        <v>16</v>
      </c>
      <c r="B97" s="41">
        <f>'2013-14'!J97</f>
        <v>40.014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'2013-14'!J98</f>
        <v>0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'2013-14'!J99</f>
        <v>538.225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538.225</v>
      </c>
      <c r="K99" s="80">
        <f t="shared" si="27"/>
        <v>0</v>
      </c>
    </row>
    <row r="100" spans="1:11" ht="12.75">
      <c r="A100" s="10" t="s">
        <v>19</v>
      </c>
      <c r="B100" s="41">
        <f>'2013-14'!J100</f>
        <v>12.616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-7.384</v>
      </c>
      <c r="K100" s="80">
        <f t="shared" si="27"/>
        <v>-1.585288522511097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2445.9120000000003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2440.9120000000003</v>
      </c>
      <c r="K103" s="79">
        <f aca="true" t="shared" si="30" ref="K103:K109">+(J103-B103)/B103</f>
        <v>-0.002044227265739732</v>
      </c>
    </row>
    <row r="104" spans="1:11" ht="12.75">
      <c r="A104" s="11" t="s">
        <v>62</v>
      </c>
      <c r="B104" s="41">
        <f>'2013-14'!J104</f>
        <v>225.828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225.828</v>
      </c>
      <c r="K104" s="80">
        <f t="shared" si="30"/>
        <v>0</v>
      </c>
    </row>
    <row r="105" spans="1:11" ht="12.75">
      <c r="A105" s="11" t="s">
        <v>63</v>
      </c>
      <c r="B105" s="41">
        <f>'2013-14'!J105</f>
        <v>159.248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159.248</v>
      </c>
      <c r="K105" s="80">
        <f t="shared" si="30"/>
        <v>0</v>
      </c>
    </row>
    <row r="106" spans="1:11" ht="12.75">
      <c r="A106" s="11" t="s">
        <v>64</v>
      </c>
      <c r="B106" s="41">
        <f>'2013-14'!J106</f>
        <v>727.154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722.154</v>
      </c>
      <c r="K106" s="80">
        <f t="shared" si="30"/>
        <v>-0.006876122527002533</v>
      </c>
    </row>
    <row r="107" spans="1:11" ht="12.75">
      <c r="A107" s="11" t="s">
        <v>65</v>
      </c>
      <c r="B107" s="41">
        <f>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'2013-14'!J109</f>
        <v>841.712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841.712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22142.46437485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20683.2234280925</v>
      </c>
      <c r="K111" s="81">
        <f>+(J111-B111)/B111</f>
        <v>-0.06590237301747419</v>
      </c>
      <c r="N111" s="60">
        <f>+J111-B111</f>
        <v>-1459.240946757498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-1215.1422780925022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61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3796.8150000000014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3457.791</v>
      </c>
      <c r="K4" s="77">
        <f>+(J4-B4)/B4</f>
        <v>-0.08929168263399748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802.899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786.362</v>
      </c>
      <c r="K6" s="79">
        <f aca="true" t="shared" si="2" ref="K6:K11">+(J6-B6)/B6</f>
        <v>-0.02059661302355593</v>
      </c>
    </row>
    <row r="7" spans="1:11" ht="12.75">
      <c r="A7" s="10" t="s">
        <v>26</v>
      </c>
      <c r="B7" s="39">
        <f>'2014-15'!J7</f>
        <v>17.424999999999997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6.424999999999997</v>
      </c>
      <c r="K7" s="80">
        <f t="shared" si="2"/>
        <v>-0.6312769010043042</v>
      </c>
    </row>
    <row r="8" spans="1:11" ht="12.75">
      <c r="A8" s="10" t="s">
        <v>27</v>
      </c>
      <c r="B8" s="39">
        <f>'2014-15'!J8</f>
        <v>8.370000000000005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2.8330000000000046</v>
      </c>
      <c r="K8" s="80">
        <f t="shared" si="2"/>
        <v>-0.6615292712066901</v>
      </c>
    </row>
    <row r="9" spans="1:11" ht="12.75">
      <c r="A9" s="10" t="s">
        <v>110</v>
      </c>
      <c r="B9" s="39">
        <f>'2014-15'!J9</f>
        <v>392.503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'2014-15'!J10</f>
        <v>-69.279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-69.279</v>
      </c>
      <c r="K10" s="80">
        <f t="shared" si="2"/>
        <v>0</v>
      </c>
    </row>
    <row r="11" spans="1:11" ht="12.75">
      <c r="A11" s="10" t="s">
        <v>82</v>
      </c>
      <c r="B11" s="39">
        <f>'2014-15'!J11</f>
        <v>453.88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453.88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-3845.2669999999994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-4148.267</v>
      </c>
      <c r="K13" s="79">
        <f>+(J13-B13)/B13</f>
        <v>0.07879816928187315</v>
      </c>
    </row>
    <row r="14" spans="1:11" ht="12.75">
      <c r="A14" s="21" t="s">
        <v>85</v>
      </c>
      <c r="B14" s="41">
        <f>'2014-15'!J14</f>
        <v>-6446.623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-6646.623</v>
      </c>
      <c r="K14" s="80">
        <f>+(J14-B14)/B14</f>
        <v>0.031023995043606555</v>
      </c>
    </row>
    <row r="15" spans="1:11" ht="12.75">
      <c r="A15" s="21" t="s">
        <v>86</v>
      </c>
      <c r="B15" s="41">
        <f>'2014-15'!J15</f>
        <v>876.4519999999999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'2014-15'!J16</f>
        <v>170.982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140.982</v>
      </c>
      <c r="K16" s="80">
        <f>+(J16-B16)/B16</f>
        <v>-0.17545706565603397</v>
      </c>
    </row>
    <row r="17" spans="1:11" ht="12.75">
      <c r="A17" s="21" t="s">
        <v>110</v>
      </c>
      <c r="B17" s="41">
        <f>'2014-15'!J17</f>
        <v>1553.922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1480.922</v>
      </c>
      <c r="K17" s="80">
        <f>+(J17-B17)/B17</f>
        <v>-0.046977904939887585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6839.183000000001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6819.696</v>
      </c>
      <c r="K19" s="79">
        <f aca="true" t="shared" si="5" ref="K19:K25">+(J19-B19)/B19</f>
        <v>-0.0028493169432666134</v>
      </c>
    </row>
    <row r="20" spans="1:11" ht="12.75">
      <c r="A20" s="11" t="s">
        <v>40</v>
      </c>
      <c r="B20" s="41">
        <f>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'2014-15'!J21</f>
        <v>1166.9650000000001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1166.9650000000001</v>
      </c>
      <c r="K21" s="80">
        <f t="shared" si="5"/>
        <v>0</v>
      </c>
    </row>
    <row r="22" spans="1:11" ht="12.75">
      <c r="A22" s="11" t="s">
        <v>143</v>
      </c>
      <c r="B22" s="41">
        <f>'2014-15'!J22</f>
        <v>1418.759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1418.759</v>
      </c>
      <c r="K22" s="80">
        <f t="shared" si="5"/>
        <v>0</v>
      </c>
    </row>
    <row r="23" spans="1:11" ht="12.75">
      <c r="A23" s="11" t="s">
        <v>144</v>
      </c>
      <c r="B23" s="41">
        <f>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'2014-15'!J24</f>
        <v>1021.251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1001.764</v>
      </c>
      <c r="K24" s="80">
        <f t="shared" si="5"/>
        <v>-0.019081499063403576</v>
      </c>
    </row>
    <row r="25" spans="1:11" ht="12.75">
      <c r="A25" s="11" t="s">
        <v>145</v>
      </c>
      <c r="B25" s="41">
        <f>'2014-15'!J25</f>
        <v>2633.896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2633.896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7284.6690280924995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6995.7690280925</v>
      </c>
      <c r="K27" s="79">
        <f>+(J27-B27)/B27</f>
        <v>-0.03965863087065309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2029.9210000000003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1989.9210000000003</v>
      </c>
      <c r="K29" s="79">
        <f aca="true" t="shared" si="9" ref="K29:K35">+(J29-B29)/B29</f>
        <v>-0.019705200350161406</v>
      </c>
    </row>
    <row r="30" spans="1:11" ht="12.75">
      <c r="A30" s="10" t="s">
        <v>9</v>
      </c>
      <c r="B30" s="41">
        <f>'2014-15'!J30</f>
        <v>1283.228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1243.228</v>
      </c>
      <c r="K30" s="80">
        <f t="shared" si="9"/>
        <v>-0.031171389651722062</v>
      </c>
    </row>
    <row r="31" spans="1:11" ht="12.75">
      <c r="A31" s="10" t="s">
        <v>11</v>
      </c>
      <c r="B31" s="41">
        <f>'2014-15'!J31</f>
        <v>57.80099999999999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57.80099999999999</v>
      </c>
      <c r="K31" s="80">
        <f t="shared" si="9"/>
        <v>0</v>
      </c>
    </row>
    <row r="32" spans="1:11" ht="12.75">
      <c r="A32" s="10" t="s">
        <v>12</v>
      </c>
      <c r="B32" s="41">
        <f>'2014-15'!J32</f>
        <v>66.025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'2014-15'!J34</f>
        <v>65.68299999999999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'2014-15'!J35</f>
        <v>253.79500000000002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253.79500000000002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3231.9380280924997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3031.9380280924997</v>
      </c>
      <c r="K37" s="79">
        <f>+(J37-B37)/B37</f>
        <v>-0.061882374680940475</v>
      </c>
    </row>
    <row r="38" spans="1:11" ht="12.75">
      <c r="A38" s="11" t="s">
        <v>57</v>
      </c>
      <c r="B38" s="41">
        <f>'2014-15'!J38</f>
        <v>123.131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'2014-15'!J39</f>
        <v>3011.3290280925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2811.3290280925</v>
      </c>
      <c r="K39" s="79">
        <f>+(J39-B39)/B39</f>
        <v>-0.06641585762771604</v>
      </c>
    </row>
    <row r="40" spans="1:11" ht="12.75">
      <c r="A40" s="11" t="s">
        <v>84</v>
      </c>
      <c r="B40" s="41">
        <f>'2014-15'!J40</f>
        <v>97.478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97.478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2022.81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1973.91</v>
      </c>
      <c r="K42" s="79">
        <f aca="true" t="shared" si="13" ref="K42:K47">+(J42-B42)/B42</f>
        <v>-0.024174292197487585</v>
      </c>
    </row>
    <row r="43" spans="1:11" ht="12.75">
      <c r="A43" s="83" t="s">
        <v>149</v>
      </c>
      <c r="B43" s="41">
        <f>'2014-15'!J43</f>
        <v>130.583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81.68299999999999</v>
      </c>
      <c r="K43" s="80">
        <f t="shared" si="13"/>
        <v>-0.3744744721747854</v>
      </c>
    </row>
    <row r="44" spans="1:11" ht="12.75">
      <c r="A44" s="83" t="s">
        <v>150</v>
      </c>
      <c r="B44" s="41">
        <f>'2014-15'!J44</f>
        <v>-67.002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'2014-15'!J45</f>
        <v>1645.609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'2014-15'!J46</f>
        <v>91.179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'2014-15'!J47</f>
        <v>222.441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5012.9133999999995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4539.394399999999</v>
      </c>
      <c r="K49" s="79">
        <f>+(J49-B49)/B49</f>
        <v>-0.09445984045924279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1292.9049999999997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1295.9049999999997</v>
      </c>
      <c r="K51" s="79">
        <f aca="true" t="shared" si="16" ref="K51:K56">+(J51-B51)/B51</f>
        <v>0.0023203560973157353</v>
      </c>
    </row>
    <row r="52" spans="1:11" ht="12.75">
      <c r="A52" s="10" t="s">
        <v>31</v>
      </c>
      <c r="B52" s="41">
        <f>'2014-15'!J52</f>
        <v>528.76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531.76</v>
      </c>
      <c r="K52" s="80">
        <f t="shared" si="16"/>
        <v>0.005673651562145397</v>
      </c>
    </row>
    <row r="53" spans="1:11" ht="12.75">
      <c r="A53" s="10" t="s">
        <v>32</v>
      </c>
      <c r="B53" s="41">
        <f>'2014-15'!J53</f>
        <v>496.77199999999993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496.77199999999993</v>
      </c>
      <c r="K53" s="80">
        <f t="shared" si="16"/>
        <v>0</v>
      </c>
    </row>
    <row r="54" spans="1:11" ht="12.75">
      <c r="A54" s="10" t="s">
        <v>33</v>
      </c>
      <c r="B54" s="41">
        <f>'2014-15'!J54</f>
        <v>700.1379999999999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700.1379999999999</v>
      </c>
      <c r="K54" s="80">
        <f t="shared" si="16"/>
        <v>0</v>
      </c>
    </row>
    <row r="55" spans="1:11" ht="12.75">
      <c r="A55" s="27" t="s">
        <v>113</v>
      </c>
      <c r="B55" s="41">
        <f>'2014-15'!J55</f>
        <v>-552.979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-552.979</v>
      </c>
      <c r="K55" s="80">
        <f t="shared" si="16"/>
        <v>0</v>
      </c>
    </row>
    <row r="56" spans="1:11" ht="12.75">
      <c r="A56" s="10" t="s">
        <v>34</v>
      </c>
      <c r="B56" s="41">
        <f>'2014-15'!J56</f>
        <v>120.214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-2092.616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-2384.6070000000004</v>
      </c>
      <c r="K58" s="79">
        <f aca="true" t="shared" si="18" ref="K58:K68">+(J58-B58)/B58</f>
        <v>0.13953396131922935</v>
      </c>
    </row>
    <row r="59" spans="1:11" ht="12.75">
      <c r="A59" s="84" t="s">
        <v>160</v>
      </c>
      <c r="B59" s="41">
        <f>'2014-15'!J59</f>
        <v>-1898.118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-1941.4759999999999</v>
      </c>
      <c r="K59" s="80">
        <f t="shared" si="18"/>
        <v>0.022842626222395</v>
      </c>
    </row>
    <row r="60" spans="1:11" ht="12.75">
      <c r="A60" s="84" t="s">
        <v>153</v>
      </c>
      <c r="B60" s="41">
        <f>'2014-15'!J60</f>
        <v>-4698.469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-4764.119</v>
      </c>
      <c r="K60" s="80">
        <f t="shared" si="18"/>
        <v>0.013972636618438823</v>
      </c>
    </row>
    <row r="61" spans="1:11" ht="12.75">
      <c r="A61" s="84" t="s">
        <v>154</v>
      </c>
      <c r="B61" s="41">
        <f>'2014-15'!J61</f>
        <v>2841.334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2824.948</v>
      </c>
      <c r="K61" s="80">
        <f t="shared" si="18"/>
        <v>-0.005767009439932077</v>
      </c>
    </row>
    <row r="62" spans="1:11" ht="12.75">
      <c r="A62" s="84" t="s">
        <v>155</v>
      </c>
      <c r="B62" s="41">
        <f>'2014-15'!J62</f>
        <v>-1362.603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-1362.603</v>
      </c>
      <c r="K62" s="80">
        <f t="shared" si="18"/>
        <v>0</v>
      </c>
    </row>
    <row r="63" spans="1:11" ht="12.75">
      <c r="A63" s="84" t="s">
        <v>96</v>
      </c>
      <c r="B63" s="41">
        <f>'2014-15'!J63</f>
        <v>-378.653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-398.653</v>
      </c>
      <c r="K63" s="80">
        <f t="shared" si="18"/>
        <v>0.05281880772105331</v>
      </c>
    </row>
    <row r="64" spans="1:11" ht="12.75">
      <c r="A64" s="84" t="s">
        <v>156</v>
      </c>
      <c r="B64" s="41">
        <f>'2014-15'!J64</f>
        <v>3835.578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3810.578</v>
      </c>
      <c r="K64" s="80">
        <f t="shared" si="18"/>
        <v>-0.006517922461751527</v>
      </c>
    </row>
    <row r="65" spans="1:11" ht="12.75">
      <c r="A65" s="84" t="s">
        <v>94</v>
      </c>
      <c r="B65" s="41">
        <f>'2014-15'!J65</f>
        <v>-2053.307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-2024.9039999999998</v>
      </c>
      <c r="K65" s="80">
        <f t="shared" si="18"/>
        <v>-0.013832807271391965</v>
      </c>
    </row>
    <row r="66" spans="1:11" ht="12.75" customHeight="1">
      <c r="A66" s="84" t="s">
        <v>157</v>
      </c>
      <c r="B66" s="41">
        <f>'2014-15'!J66</f>
        <v>-74.416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'2014-15'!J67</f>
        <v>-147.477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'2014-15'!J68</f>
        <v>1843.5149999999999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1693.5149999999999</v>
      </c>
      <c r="K68" s="80">
        <f t="shared" si="18"/>
        <v>-0.08136630295929244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2708.01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2617.482</v>
      </c>
      <c r="K70" s="79">
        <f>+(J70-B70)/B70</f>
        <v>-0.033429714070479885</v>
      </c>
    </row>
    <row r="71" spans="1:11" ht="12.75">
      <c r="A71" s="11" t="s">
        <v>21</v>
      </c>
      <c r="B71" s="41">
        <f>'2014-15'!J71</f>
        <v>1959.893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1894.365</v>
      </c>
      <c r="K71" s="80">
        <f>+(J71-B71)/B71</f>
        <v>-0.03343447831080575</v>
      </c>
    </row>
    <row r="72" spans="1:11" ht="12.75">
      <c r="A72" s="11" t="s">
        <v>69</v>
      </c>
      <c r="B72" s="41">
        <f>'2014-15'!J72</f>
        <v>201.722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201.722</v>
      </c>
      <c r="K72" s="80">
        <f>+(J72-B72)/B72</f>
        <v>0</v>
      </c>
    </row>
    <row r="73" spans="1:11" ht="12.75">
      <c r="A73" s="11" t="s">
        <v>70</v>
      </c>
      <c r="B73" s="41">
        <f>'2014-15'!J73</f>
        <v>539.219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514.219</v>
      </c>
      <c r="K73" s="80">
        <f>+(J73-B73)/B73</f>
        <v>-0.04636335143976751</v>
      </c>
    </row>
    <row r="74" spans="1:11" ht="12.75">
      <c r="A74" s="11" t="s">
        <v>71</v>
      </c>
      <c r="B74" s="41">
        <f>'2014-15'!J74</f>
        <v>7.176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3104.6143999999995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3010.6143999999995</v>
      </c>
      <c r="K76" s="79">
        <f aca="true" t="shared" si="22" ref="K76:K84">+(J76-B76)/B76</f>
        <v>-0.030277512080083124</v>
      </c>
    </row>
    <row r="77" spans="1:11" ht="12.75">
      <c r="A77" s="21" t="s">
        <v>74</v>
      </c>
      <c r="B77" s="41">
        <f>'2014-15'!J77</f>
        <v>1071.5303999999996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1046.5303999999996</v>
      </c>
      <c r="K77" s="80">
        <f t="shared" si="22"/>
        <v>-0.023331115944074016</v>
      </c>
    </row>
    <row r="78" spans="1:11" ht="12.75">
      <c r="A78" s="21" t="s">
        <v>137</v>
      </c>
      <c r="B78" s="41">
        <f>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'2014-15'!J79</f>
        <v>92.243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92.243</v>
      </c>
      <c r="K79" s="80">
        <f t="shared" si="22"/>
        <v>0</v>
      </c>
    </row>
    <row r="80" spans="1:11" ht="12.75">
      <c r="A80" s="21" t="s">
        <v>76</v>
      </c>
      <c r="B80" s="41">
        <f>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'2014-15'!J81</f>
        <v>18.65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18.65</v>
      </c>
      <c r="K81" s="80">
        <f t="shared" si="22"/>
        <v>0</v>
      </c>
    </row>
    <row r="82" spans="1:11" ht="12.75">
      <c r="A82" s="21" t="s">
        <v>78</v>
      </c>
      <c r="B82" s="41">
        <f>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'2014-15'!J83</f>
        <v>1740.493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1671.493</v>
      </c>
      <c r="K83" s="80">
        <f t="shared" si="22"/>
        <v>-0.0396439399641366</v>
      </c>
    </row>
    <row r="84" spans="1:11" ht="12.75">
      <c r="A84" s="21" t="s">
        <v>80</v>
      </c>
      <c r="B84" s="41">
        <f>'2014-15'!J84</f>
        <v>52.807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4588.826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4475.504</v>
      </c>
      <c r="K87" s="79">
        <f>+(J87-B87)/B87</f>
        <v>-0.02469520526600924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926.951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870.451</v>
      </c>
      <c r="K89" s="79">
        <f>+(J89-B89)/B89</f>
        <v>-0.06095252068340182</v>
      </c>
    </row>
    <row r="90" spans="1:11" ht="12.75">
      <c r="A90" s="83" t="s">
        <v>139</v>
      </c>
      <c r="B90" s="41">
        <f>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'2014-15'!J92</f>
        <v>482.93899999999996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476.43899999999996</v>
      </c>
      <c r="K92" s="80">
        <f>+(J92-B92)/B92</f>
        <v>-0.013459256759135212</v>
      </c>
    </row>
    <row r="93" spans="1:11" ht="12.75">
      <c r="A93" s="83" t="s">
        <v>141</v>
      </c>
      <c r="B93" s="41">
        <f>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1220.963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1202.5</v>
      </c>
      <c r="K95" s="79">
        <f aca="true" t="shared" si="27" ref="K95:K100">+(J95-B95)/B95</f>
        <v>-0.015121670353647053</v>
      </c>
    </row>
    <row r="96" spans="1:11" ht="12.75">
      <c r="A96" s="10" t="s">
        <v>15</v>
      </c>
      <c r="B96" s="41">
        <f>'2014-15'!J96</f>
        <v>650.108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650.108</v>
      </c>
      <c r="K96" s="80">
        <f t="shared" si="27"/>
        <v>0</v>
      </c>
    </row>
    <row r="97" spans="1:11" ht="12.75">
      <c r="A97" s="10" t="s">
        <v>16</v>
      </c>
      <c r="B97" s="41">
        <f>'2014-15'!J97</f>
        <v>40.014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'2014-15'!J98</f>
        <v>0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'2014-15'!J99</f>
        <v>538.225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519.7620000000001</v>
      </c>
      <c r="K99" s="80">
        <f t="shared" si="27"/>
        <v>-0.03430349760787768</v>
      </c>
    </row>
    <row r="100" spans="1:11" ht="12.75">
      <c r="A100" s="10" t="s">
        <v>19</v>
      </c>
      <c r="B100" s="41">
        <f>'2014-15'!J100</f>
        <v>-7.384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-7.384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2440.9120000000003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2402.553</v>
      </c>
      <c r="K103" s="79">
        <f aca="true" t="shared" si="30" ref="K103:K109">+(J103-B103)/B103</f>
        <v>-0.015715027825665313</v>
      </c>
    </row>
    <row r="104" spans="1:11" ht="12.75">
      <c r="A104" s="11" t="s">
        <v>62</v>
      </c>
      <c r="B104" s="41">
        <f>'2014-15'!J104</f>
        <v>225.828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221.469</v>
      </c>
      <c r="K104" s="80">
        <f t="shared" si="30"/>
        <v>-0.019302300866145955</v>
      </c>
    </row>
    <row r="105" spans="1:11" ht="12.75">
      <c r="A105" s="11" t="s">
        <v>63</v>
      </c>
      <c r="B105" s="41">
        <f>'2014-15'!J105</f>
        <v>159.248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158.248</v>
      </c>
      <c r="K105" s="80">
        <f t="shared" si="30"/>
        <v>-0.0062795137144579525</v>
      </c>
    </row>
    <row r="106" spans="1:11" ht="12.75">
      <c r="A106" s="11" t="s">
        <v>64</v>
      </c>
      <c r="B106" s="41">
        <f>'2014-15'!J106</f>
        <v>722.154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717.154</v>
      </c>
      <c r="K106" s="80">
        <f t="shared" si="30"/>
        <v>-0.0069237309493542926</v>
      </c>
    </row>
    <row r="107" spans="1:11" ht="12.75">
      <c r="A107" s="11" t="s">
        <v>65</v>
      </c>
      <c r="B107" s="41">
        <f>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'2014-15'!J109</f>
        <v>841.712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813.712</v>
      </c>
      <c r="K109" s="80">
        <f t="shared" si="30"/>
        <v>-0.03326553500484727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20683.2234280925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19468.458428092497</v>
      </c>
      <c r="K111" s="81">
        <f>+(J111-B111)/B111</f>
        <v>-0.05873189951379035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-920.587</v>
      </c>
      <c r="I113" s="50">
        <f>+I111+'2014-15'!I111+'2013-14'!I111+'2012-13'!I111</f>
        <v>796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-0.3772780924991821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3457.791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3371.2850000000008</v>
      </c>
      <c r="J4" s="77">
        <f>+(I4-B4)/B4</f>
        <v>-0.025017706391161118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786.362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770.155</v>
      </c>
      <c r="J6" s="79">
        <f aca="true" t="shared" si="2" ref="J6:J11">+(I6-B6)/B6</f>
        <v>-0.020610100691539002</v>
      </c>
    </row>
    <row r="7" spans="1:10" ht="12.75">
      <c r="A7" s="10" t="s">
        <v>26</v>
      </c>
      <c r="B7" s="39">
        <f>'2015-16'!J7</f>
        <v>6.424999999999997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-3.575000000000003</v>
      </c>
      <c r="J7" s="80">
        <f t="shared" si="2"/>
        <v>-1.5564202334630357</v>
      </c>
    </row>
    <row r="8" spans="1:10" ht="12.75">
      <c r="A8" s="10" t="s">
        <v>27</v>
      </c>
      <c r="B8" s="39">
        <f>'2015-16'!J8</f>
        <v>2.8330000000000046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-3.3739999999999952</v>
      </c>
      <c r="J8" s="80">
        <f t="shared" si="2"/>
        <v>-2.1909636427815</v>
      </c>
    </row>
    <row r="9" spans="1:10" ht="12.75">
      <c r="A9" s="10" t="s">
        <v>110</v>
      </c>
      <c r="B9" s="39">
        <f>'2015-16'!J9</f>
        <v>392.503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392.503</v>
      </c>
      <c r="J9" s="80">
        <f t="shared" si="2"/>
        <v>0</v>
      </c>
    </row>
    <row r="10" spans="1:10" ht="12.75">
      <c r="A10" s="10" t="s">
        <v>28</v>
      </c>
      <c r="B10" s="39">
        <f>'2015-16'!J10</f>
        <v>-69.279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-69.279</v>
      </c>
      <c r="J10" s="80">
        <f t="shared" si="2"/>
        <v>0</v>
      </c>
    </row>
    <row r="11" spans="1:10" ht="12.75">
      <c r="A11" s="10" t="s">
        <v>82</v>
      </c>
      <c r="B11" s="39">
        <f>'2015-16'!J11</f>
        <v>453.88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453.88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-4148.267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-4148.267</v>
      </c>
      <c r="J13" s="79">
        <f>+(I13-B13)/B13</f>
        <v>0</v>
      </c>
    </row>
    <row r="14" spans="1:10" ht="12.75">
      <c r="A14" s="21" t="s">
        <v>85</v>
      </c>
      <c r="B14" s="41">
        <f>'2015-16'!J14</f>
        <v>-6646.623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-6646.623</v>
      </c>
      <c r="J14" s="80">
        <f>+(I14-B14)/B14</f>
        <v>0</v>
      </c>
    </row>
    <row r="15" spans="1:10" ht="12.75">
      <c r="A15" s="21" t="s">
        <v>86</v>
      </c>
      <c r="B15" s="41">
        <f>'2015-16'!J15</f>
        <v>876.4519999999999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876.4519999999999</v>
      </c>
      <c r="J15" s="80">
        <f>+(I15-B15)/B15</f>
        <v>0</v>
      </c>
    </row>
    <row r="16" spans="1:10" ht="12.75">
      <c r="A16" s="21" t="s">
        <v>87</v>
      </c>
      <c r="B16" s="41">
        <f>'2015-16'!J16</f>
        <v>140.982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140.982</v>
      </c>
      <c r="J16" s="80">
        <f>+(I16-B16)/B16</f>
        <v>0</v>
      </c>
    </row>
    <row r="17" spans="1:10" ht="12.75">
      <c r="A17" s="21" t="s">
        <v>110</v>
      </c>
      <c r="B17" s="41">
        <f>'2015-16'!J17</f>
        <v>1480.922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1480.922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6819.696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6749.397000000001</v>
      </c>
      <c r="J19" s="79">
        <f aca="true" t="shared" si="5" ref="J19:J25">+(I19-B19)/B19</f>
        <v>-0.010308230748115321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1166.9650000000001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1166.9650000000001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1418.759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1418.759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1001.764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951.764</v>
      </c>
      <c r="J24" s="80">
        <f t="shared" si="5"/>
        <v>-0.049911955310831695</v>
      </c>
    </row>
    <row r="25" spans="1:10" ht="12.75">
      <c r="A25" s="11" t="s">
        <v>145</v>
      </c>
      <c r="B25" s="41">
        <f>'2015-16'!J25</f>
        <v>2633.896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2615.597</v>
      </c>
      <c r="J25" s="80">
        <f t="shared" si="5"/>
        <v>-0.0069475028626794595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6995.7690280925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6945.7690280925</v>
      </c>
      <c r="J27" s="79">
        <f>+(I27-B27)/B27</f>
        <v>-0.007147177072201488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1989.9210000000003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1949.9210000000003</v>
      </c>
      <c r="J29" s="79">
        <f aca="true" t="shared" si="9" ref="J29:J35">+(I29-B29)/B29</f>
        <v>-0.020101300503889346</v>
      </c>
    </row>
    <row r="30" spans="1:10" ht="12.75">
      <c r="A30" s="10" t="s">
        <v>9</v>
      </c>
      <c r="B30" s="41">
        <f>'2015-16'!J30</f>
        <v>1243.228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1203.228</v>
      </c>
      <c r="J30" s="80">
        <f t="shared" si="9"/>
        <v>-0.032174307528466214</v>
      </c>
    </row>
    <row r="31" spans="1:10" ht="12.75">
      <c r="A31" s="10" t="s">
        <v>11</v>
      </c>
      <c r="B31" s="41">
        <f>'2015-16'!J31</f>
        <v>57.80099999999999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57.80099999999999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66.025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66.025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65.68299999999999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65.68299999999999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253.79500000000002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253.79500000000002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3031.9380280924997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3031.9380280924997</v>
      </c>
      <c r="J37" s="79">
        <f>+(I37-B37)/B37</f>
        <v>0</v>
      </c>
    </row>
    <row r="38" spans="1:10" ht="12.75">
      <c r="A38" s="11" t="s">
        <v>57</v>
      </c>
      <c r="B38" s="41">
        <f>'2015-16'!J38</f>
        <v>123.131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123.131</v>
      </c>
      <c r="J38" s="80">
        <f>+(I38-B38)/B38</f>
        <v>0</v>
      </c>
    </row>
    <row r="39" spans="1:10" ht="12.75">
      <c r="A39" s="11" t="s">
        <v>58</v>
      </c>
      <c r="B39" s="41">
        <f>'2015-16'!J39</f>
        <v>2811.3290280925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2811.3290280925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97.478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97.478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1973.91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1963.91</v>
      </c>
      <c r="J42" s="79">
        <f aca="true" t="shared" si="13" ref="J42:J47">+(I42-B42)/B42</f>
        <v>-0.005066087106301706</v>
      </c>
    </row>
    <row r="43" spans="1:10" ht="12.75">
      <c r="A43" s="83" t="s">
        <v>149</v>
      </c>
      <c r="B43" s="41">
        <f>'2015-16'!J43</f>
        <v>81.68299999999999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71.68299999999999</v>
      </c>
      <c r="J43" s="80">
        <f t="shared" si="13"/>
        <v>-0.12242449469289816</v>
      </c>
    </row>
    <row r="44" spans="1:10" ht="12.75">
      <c r="A44" s="83" t="s">
        <v>150</v>
      </c>
      <c r="B44" s="41">
        <f>'2015-16'!J44</f>
        <v>-67.002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-67.002</v>
      </c>
      <c r="J44" s="80">
        <f t="shared" si="13"/>
        <v>0</v>
      </c>
    </row>
    <row r="45" spans="1:10" ht="12.75">
      <c r="A45" s="83" t="s">
        <v>151</v>
      </c>
      <c r="B45" s="41">
        <f>'2015-16'!J45</f>
        <v>1645.609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1645.609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91.179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91.179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222.441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222.441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4539.394399999999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4091.451899999999</v>
      </c>
      <c r="J49" s="79">
        <f>+(I49-B49)/B49</f>
        <v>-0.0986789118830477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1295.9049999999997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1265.9049999999997</v>
      </c>
      <c r="J51" s="79">
        <f aca="true" t="shared" si="16" ref="J51:J56">+(I51-B51)/B51</f>
        <v>-0.023149845088953284</v>
      </c>
    </row>
    <row r="52" spans="1:10" ht="12.75">
      <c r="A52" s="10" t="s">
        <v>31</v>
      </c>
      <c r="B52" s="41">
        <f>'2015-16'!J52</f>
        <v>531.76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531.76</v>
      </c>
      <c r="J52" s="80">
        <f t="shared" si="16"/>
        <v>0</v>
      </c>
    </row>
    <row r="53" spans="1:10" ht="12.75">
      <c r="A53" s="10" t="s">
        <v>32</v>
      </c>
      <c r="B53" s="41">
        <f>'2015-16'!J53</f>
        <v>496.77199999999993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496.77199999999993</v>
      </c>
      <c r="J53" s="80">
        <f t="shared" si="16"/>
        <v>0</v>
      </c>
    </row>
    <row r="54" spans="1:10" ht="12.75">
      <c r="A54" s="10" t="s">
        <v>33</v>
      </c>
      <c r="B54" s="41">
        <f>'2015-16'!J54</f>
        <v>700.1379999999999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700.1379999999999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-552.979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-552.979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120.214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90.214</v>
      </c>
      <c r="J56" s="80">
        <f t="shared" si="16"/>
        <v>-0.2495549603207613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-2384.6070000000004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-2676.0215000000003</v>
      </c>
      <c r="J58" s="79">
        <f aca="true" t="shared" si="18" ref="J58:J68">+(I58-B58)/B58</f>
        <v>0.12220651033902015</v>
      </c>
    </row>
    <row r="59" spans="1:10" ht="12.75">
      <c r="A59" s="84" t="s">
        <v>160</v>
      </c>
      <c r="B59" s="41">
        <f>'2015-16'!J59</f>
        <v>-1941.4759999999999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-1978.841</v>
      </c>
      <c r="J59" s="80">
        <f t="shared" si="18"/>
        <v>0.019245666698944522</v>
      </c>
    </row>
    <row r="60" spans="1:10" ht="12.75">
      <c r="A60" s="84" t="s">
        <v>153</v>
      </c>
      <c r="B60" s="41">
        <f>'2015-16'!J60</f>
        <v>-4764.119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-4830.425499999999</v>
      </c>
      <c r="J60" s="80">
        <f t="shared" si="18"/>
        <v>0.013917893318785634</v>
      </c>
    </row>
    <row r="61" spans="1:10" ht="12.75">
      <c r="A61" s="84" t="s">
        <v>154</v>
      </c>
      <c r="B61" s="41">
        <f>'2015-16'!J61</f>
        <v>2824.948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2808.234</v>
      </c>
      <c r="J61" s="80">
        <f t="shared" si="18"/>
        <v>-0.005916569083749486</v>
      </c>
    </row>
    <row r="62" spans="1:10" ht="12.75">
      <c r="A62" s="84" t="s">
        <v>155</v>
      </c>
      <c r="B62" s="41">
        <f>'2015-16'!J62</f>
        <v>-1362.603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-1362.603</v>
      </c>
      <c r="J62" s="80">
        <f t="shared" si="18"/>
        <v>0</v>
      </c>
    </row>
    <row r="63" spans="1:10" ht="12.75">
      <c r="A63" s="84" t="s">
        <v>96</v>
      </c>
      <c r="B63" s="41">
        <f>'2015-16'!J63</f>
        <v>-398.653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-418.653</v>
      </c>
      <c r="J63" s="80">
        <f t="shared" si="18"/>
        <v>0.050168943918646035</v>
      </c>
    </row>
    <row r="64" spans="1:10" ht="12.75">
      <c r="A64" s="84" t="s">
        <v>156</v>
      </c>
      <c r="B64" s="41">
        <f>'2015-16'!J64</f>
        <v>3810.578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3785.578</v>
      </c>
      <c r="J64" s="80">
        <f t="shared" si="18"/>
        <v>-0.006560684494583236</v>
      </c>
    </row>
    <row r="65" spans="1:10" ht="12.75">
      <c r="A65" s="84" t="s">
        <v>94</v>
      </c>
      <c r="B65" s="41">
        <f>'2015-16'!J65</f>
        <v>-2024.9039999999998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-1995.9329999999998</v>
      </c>
      <c r="J65" s="80">
        <f t="shared" si="18"/>
        <v>-0.014307344940797197</v>
      </c>
    </row>
    <row r="66" spans="1:10" ht="12.75" customHeight="1">
      <c r="A66" s="84" t="s">
        <v>157</v>
      </c>
      <c r="B66" s="41">
        <f>'2015-16'!J66</f>
        <v>-74.416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-74.416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-147.477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-147.477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1693.5149999999999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1538.5149999999999</v>
      </c>
      <c r="J68" s="80">
        <f t="shared" si="18"/>
        <v>-0.09152561388591185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2617.482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2551.954</v>
      </c>
      <c r="J70" s="79">
        <f>+(I70-B70)/B70</f>
        <v>-0.025034747134841728</v>
      </c>
    </row>
    <row r="71" spans="1:10" ht="12.75">
      <c r="A71" s="11" t="s">
        <v>21</v>
      </c>
      <c r="B71" s="41">
        <f>'2015-16'!J71</f>
        <v>1894.365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1828.837</v>
      </c>
      <c r="J71" s="80">
        <f>+(I71-B71)/B71</f>
        <v>-0.034591010708073695</v>
      </c>
    </row>
    <row r="72" spans="1:10" ht="12.75">
      <c r="A72" s="11" t="s">
        <v>69</v>
      </c>
      <c r="B72" s="41">
        <f>'2015-16'!J72</f>
        <v>201.722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201.722</v>
      </c>
      <c r="J72" s="80">
        <f>+(I72-B72)/B72</f>
        <v>0</v>
      </c>
    </row>
    <row r="73" spans="1:10" ht="12.75">
      <c r="A73" s="11" t="s">
        <v>70</v>
      </c>
      <c r="B73" s="41">
        <f>'2015-16'!J73</f>
        <v>514.219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514.219</v>
      </c>
      <c r="J73" s="80">
        <f>+(I73-B73)/B73</f>
        <v>0</v>
      </c>
    </row>
    <row r="74" spans="1:10" ht="12.75">
      <c r="A74" s="11" t="s">
        <v>71</v>
      </c>
      <c r="B74" s="41">
        <f>'2015-16'!J74</f>
        <v>7.176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7.176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3010.6143999999995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2949.6143999999995</v>
      </c>
      <c r="J76" s="79">
        <f aca="true" t="shared" si="22" ref="J76:J84">+(I76-B76)/B76</f>
        <v>-0.020261644932011224</v>
      </c>
    </row>
    <row r="77" spans="1:10" ht="12.75">
      <c r="A77" s="21" t="s">
        <v>74</v>
      </c>
      <c r="B77" s="41">
        <f>'2015-16'!J77</f>
        <v>1046.5303999999996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1036.5303999999996</v>
      </c>
      <c r="J77" s="80">
        <f t="shared" si="22"/>
        <v>-0.009555384153198038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92.243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92.243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18.65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18.65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1671.493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1620.493</v>
      </c>
      <c r="J83" s="80">
        <f t="shared" si="22"/>
        <v>-0.030511644380203807</v>
      </c>
    </row>
    <row r="84" spans="1:10" ht="12.75">
      <c r="A84" s="21" t="s">
        <v>80</v>
      </c>
      <c r="B84" s="41">
        <f>'2015-16'!J84</f>
        <v>52.807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52.807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4475.504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4418.758</v>
      </c>
      <c r="J87" s="79">
        <f>+(I87-B87)/B87</f>
        <v>-0.012679242382533921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870.451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841.951</v>
      </c>
      <c r="J89" s="79">
        <f>+(I89-B89)/B89</f>
        <v>-0.03274164772054946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476.43899999999996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469.93899999999996</v>
      </c>
      <c r="J92" s="80">
        <f>+(I92-B92)/B92</f>
        <v>-0.013642879781042274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1202.5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1184.526</v>
      </c>
      <c r="J95" s="79">
        <f aca="true" t="shared" si="27" ref="J95:J100">+(I95-B95)/B95</f>
        <v>-0.01494719334719329</v>
      </c>
    </row>
    <row r="96" spans="1:10" ht="12.75">
      <c r="A96" s="10" t="s">
        <v>15</v>
      </c>
      <c r="B96" s="41">
        <f>'2015-16'!J96</f>
        <v>650.108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650.108</v>
      </c>
      <c r="J96" s="80">
        <f t="shared" si="27"/>
        <v>0</v>
      </c>
    </row>
    <row r="97" spans="1:10" ht="12.75">
      <c r="A97" s="10" t="s">
        <v>16</v>
      </c>
      <c r="B97" s="41">
        <f>'2015-16'!J97</f>
        <v>40.014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40.014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0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0</v>
      </c>
      <c r="J98" s="80" t="e">
        <f t="shared" si="27"/>
        <v>#DIV/0!</v>
      </c>
    </row>
    <row r="99" spans="1:10" ht="12.75">
      <c r="A99" s="10" t="s">
        <v>18</v>
      </c>
      <c r="B99" s="41">
        <f>'2015-16'!J99</f>
        <v>519.7620000000001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501.78800000000007</v>
      </c>
      <c r="J99" s="80">
        <f t="shared" si="27"/>
        <v>-0.03458121217018556</v>
      </c>
    </row>
    <row r="100" spans="1:10" ht="12.75">
      <c r="A100" s="10" t="s">
        <v>19</v>
      </c>
      <c r="B100" s="41">
        <f>'2015-16'!J100</f>
        <v>-7.384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-7.384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2402.553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2392.281</v>
      </c>
      <c r="J103" s="79">
        <f aca="true" t="shared" si="30" ref="J103:J109">+(I103-B103)/B103</f>
        <v>-0.0042754519879477934</v>
      </c>
    </row>
    <row r="104" spans="1:10" ht="12.75">
      <c r="A104" s="11" t="s">
        <v>62</v>
      </c>
      <c r="B104" s="41">
        <f>'2015-16'!J104</f>
        <v>221.469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217.197</v>
      </c>
      <c r="J104" s="80">
        <f t="shared" si="30"/>
        <v>-0.019289381358113287</v>
      </c>
    </row>
    <row r="105" spans="1:10" ht="12.75">
      <c r="A105" s="11" t="s">
        <v>63</v>
      </c>
      <c r="B105" s="41">
        <f>'2015-16'!J105</f>
        <v>158.248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157.248</v>
      </c>
      <c r="J105" s="80">
        <f t="shared" si="30"/>
        <v>-0.006319195187300946</v>
      </c>
    </row>
    <row r="106" spans="1:10" ht="12.75">
      <c r="A106" s="11" t="s">
        <v>64</v>
      </c>
      <c r="B106" s="41">
        <f>'2015-16'!J106</f>
        <v>717.154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712.154</v>
      </c>
      <c r="J106" s="80">
        <f t="shared" si="30"/>
        <v>-0.006972003223854291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813.712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813.712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19468.458428092497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18827.2639280925</v>
      </c>
      <c r="J111" s="81">
        <f>+(I111-B111)/B111</f>
        <v>-0.03293504220523029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640.8172219074986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2 - Detail of proposed budget by Service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2011-11-29T10:56:35Z</cp:lastPrinted>
  <dcterms:created xsi:type="dcterms:W3CDTF">2010-08-23T10:49:01Z</dcterms:created>
  <dcterms:modified xsi:type="dcterms:W3CDTF">2011-11-29T14:22:53Z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